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67" firstSheet="1" activeTab="6"/>
  </bookViews>
  <sheets>
    <sheet name="Sommaire" sheetId="1" r:id="rId1"/>
    <sheet name="janv" sheetId="2" r:id="rId2"/>
    <sheet name="fev" sheetId="3" r:id="rId3"/>
    <sheet name="mars" sheetId="4" r:id="rId4"/>
    <sheet name="avril" sheetId="5" r:id="rId5"/>
    <sheet name="mai" sheetId="6" r:id="rId6"/>
    <sheet name="juin" sheetId="7" r:id="rId7"/>
    <sheet name="juil" sheetId="8" r:id="rId8"/>
    <sheet name="aout" sheetId="9" r:id="rId9"/>
    <sheet name="sept" sheetId="10" r:id="rId10"/>
    <sheet name="oct" sheetId="11" r:id="rId11"/>
    <sheet name="nov" sheetId="12" r:id="rId12"/>
    <sheet name="dec" sheetId="13" r:id="rId13"/>
    <sheet name="bilan" sheetId="14" r:id="rId14"/>
    <sheet name="Calcul" sheetId="15" r:id="rId15"/>
    <sheet name="Feuil1" sheetId="16" r:id="rId16"/>
  </sheets>
  <definedNames>
    <definedName name="g" localSheetId="8">'aout'!$J$15</definedName>
    <definedName name="g" localSheetId="4">'avril'!$J$15</definedName>
    <definedName name="g" localSheetId="12">'dec'!$J$15</definedName>
    <definedName name="g" localSheetId="2">'fev'!$J$15</definedName>
    <definedName name="g" localSheetId="1">'janv'!$J$15</definedName>
    <definedName name="g" localSheetId="7">'juil'!$J$15</definedName>
    <definedName name="g" localSheetId="6">'juin'!$J$15</definedName>
    <definedName name="g" localSheetId="5">'mai'!$J$15</definedName>
    <definedName name="g" localSheetId="3">'mars'!$J$15</definedName>
    <definedName name="g" localSheetId="11">'nov'!$J$15</definedName>
    <definedName name="g" localSheetId="10">'oct'!$J$15</definedName>
    <definedName name="g" localSheetId="9">'sept'!$J$15</definedName>
    <definedName name="g">#REF!</definedName>
    <definedName name="_xlnm.Print_Area" localSheetId="13">'bilan'!$A:$IV</definedName>
  </definedNames>
  <calcPr fullCalcOnLoad="1"/>
</workbook>
</file>

<file path=xl/sharedStrings.xml><?xml version="1.0" encoding="utf-8"?>
<sst xmlns="http://schemas.openxmlformats.org/spreadsheetml/2006/main" count="1273" uniqueCount="159">
  <si>
    <t>Durée</t>
  </si>
  <si>
    <t>Distance (m)</t>
  </si>
  <si>
    <t>Mesuré</t>
  </si>
  <si>
    <t>N</t>
  </si>
  <si>
    <t>Tempserie</t>
  </si>
  <si>
    <t>MoyenneSerie</t>
  </si>
  <si>
    <t>S</t>
  </si>
  <si>
    <t>H</t>
  </si>
  <si>
    <t>M</t>
  </si>
  <si>
    <t>Moy. / km</t>
  </si>
  <si>
    <t>Observations</t>
  </si>
  <si>
    <t>Moy T / km</t>
  </si>
  <si>
    <t>Ne rien saisir dans zone grisée</t>
  </si>
  <si>
    <t>temp(heure)</t>
  </si>
  <si>
    <t>Km/h</t>
  </si>
  <si>
    <t>AGE</t>
  </si>
  <si>
    <t>FCM Theorique</t>
  </si>
  <si>
    <t>Moyenne Heure</t>
  </si>
  <si>
    <t>Moyenneserie</t>
  </si>
  <si>
    <t>Mot de passe : toto</t>
  </si>
  <si>
    <t>Mars</t>
  </si>
  <si>
    <t>Mai</t>
  </si>
  <si>
    <t>Juin</t>
  </si>
  <si>
    <t>Août</t>
  </si>
  <si>
    <t>Total</t>
  </si>
  <si>
    <t>Entrainement rugby</t>
  </si>
  <si>
    <t>Match rugby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</si>
  <si>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</si>
  <si>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</si>
  <si>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</si>
  <si>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</si>
  <si>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</si>
  <si>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</si>
  <si>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</si>
  <si>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</si>
  <si>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</si>
  <si>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</si>
  <si>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</si>
  <si>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</si>
  <si>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</si>
  <si>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</si>
  <si>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</si>
  <si>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</si>
  <si>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</si>
  <si>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</si>
  <si>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</si>
  <si>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</si>
  <si>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</si>
  <si>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</si>
  <si>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</si>
  <si>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</si>
  <si>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</si>
  <si>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</si>
  <si>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</si>
  <si>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</si>
  <si>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</si>
  <si>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</si>
  <si>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</si>
  <si>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Jour</t>
  </si>
  <si>
    <t>Jogging</t>
  </si>
  <si>
    <t>x</t>
  </si>
  <si>
    <t>Distance
(m)</t>
  </si>
  <si>
    <t>FCM
mini</t>
  </si>
  <si>
    <t>FCM
maxi</t>
  </si>
  <si>
    <t>moyenne
mensuelle</t>
  </si>
  <si>
    <t>Mois</t>
  </si>
  <si>
    <t>Janv</t>
  </si>
  <si>
    <t>Févr</t>
  </si>
  <si>
    <t>Avr</t>
  </si>
  <si>
    <t>Juil</t>
  </si>
  <si>
    <t>Sept</t>
  </si>
  <si>
    <t>Oct</t>
  </si>
  <si>
    <t>Nov</t>
  </si>
  <si>
    <t>Déc</t>
  </si>
  <si>
    <t>Coût</t>
  </si>
  <si>
    <t>Coupe vent</t>
  </si>
  <si>
    <t>Nb jours/mois</t>
  </si>
  <si>
    <t>Nb sorties/mois</t>
  </si>
  <si>
    <t>Dist. Moy /sortie (m)</t>
  </si>
  <si>
    <t>total du mois (m)</t>
  </si>
  <si>
    <t>nov</t>
  </si>
  <si>
    <t>fev</t>
  </si>
  <si>
    <t>avril</t>
  </si>
  <si>
    <t>juin</t>
  </si>
  <si>
    <t>juil</t>
  </si>
  <si>
    <t>aout</t>
  </si>
  <si>
    <t>sept</t>
  </si>
  <si>
    <t>oct</t>
  </si>
  <si>
    <t>dec</t>
  </si>
  <si>
    <t>ANNEE DE GESTION</t>
  </si>
  <si>
    <t>Nombre de jour en février</t>
  </si>
  <si>
    <t>Temps série par sortie</t>
  </si>
  <si>
    <t>Temps référence 1 heure</t>
  </si>
  <si>
    <t>endurance</t>
  </si>
  <si>
    <t>résistance douce</t>
  </si>
  <si>
    <t>résistance dure</t>
  </si>
  <si>
    <t>test Ruffier-Dicson</t>
  </si>
  <si>
    <t>Pulsation au repos</t>
  </si>
  <si>
    <t>Pulsation après 1 mn de repos</t>
  </si>
  <si>
    <t>Pulsation immédiatement
après 30 fléxions sur les jambes
(buste droit) en 45s</t>
  </si>
  <si>
    <t>1et 3</t>
  </si>
  <si>
    <t>Forme excellente</t>
  </si>
  <si>
    <t>3 et 7</t>
  </si>
  <si>
    <t>Bon cœur</t>
  </si>
  <si>
    <t>Plus de 8</t>
  </si>
  <si>
    <t>cœur faible ou fatigué</t>
  </si>
  <si>
    <t>Sotie VTT</t>
  </si>
  <si>
    <t>Type</t>
  </si>
  <si>
    <t>C</t>
  </si>
  <si>
    <t>0à5</t>
  </si>
  <si>
    <t>5à10</t>
  </si>
  <si>
    <t>10à15</t>
  </si>
  <si>
    <t>&gt;15</t>
  </si>
  <si>
    <t>très bon</t>
  </si>
  <si>
    <t>bon</t>
  </si>
  <si>
    <t>mauvais</t>
  </si>
  <si>
    <t>inadapté</t>
  </si>
  <si>
    <t>FCM
mni</t>
  </si>
  <si>
    <t>d</t>
  </si>
  <si>
    <t>s</t>
  </si>
  <si>
    <t>v</t>
  </si>
  <si>
    <t>j</t>
  </si>
  <si>
    <t>m</t>
  </si>
  <si>
    <t xml:space="preserve"> </t>
  </si>
  <si>
    <t>Match rugby folklo</t>
  </si>
  <si>
    <t>Chaussure</t>
  </si>
  <si>
    <t>e</t>
  </si>
  <si>
    <t>f</t>
  </si>
  <si>
    <t>rd</t>
  </si>
  <si>
    <t>type</t>
  </si>
  <si>
    <t>F</t>
  </si>
  <si>
    <t>rugby folklo</t>
  </si>
  <si>
    <t>VTT</t>
  </si>
  <si>
    <t>semi le perray temps chaud</t>
  </si>
  <si>
    <t>c1</t>
  </si>
  <si>
    <t>C1</t>
  </si>
  <si>
    <t>Foulée orgerus</t>
  </si>
  <si>
    <t>Les clayes sous bois</t>
  </si>
  <si>
    <t>R2</t>
  </si>
  <si>
    <t>E1</t>
  </si>
  <si>
    <t>rugby entrainement</t>
  </si>
  <si>
    <t>semi vauhalan</t>
  </si>
  <si>
    <t>Entra .rugby + fraction</t>
  </si>
  <si>
    <t>Dist. Moy.
Hebdo. du mois (m)</t>
  </si>
  <si>
    <t>Durée / mois
(hh:mm:ss)</t>
  </si>
  <si>
    <t>Durée moy / sortie
(hh:mm:ss)</t>
  </si>
  <si>
    <t>Rugby</t>
  </si>
  <si>
    <t>5 Plages Cabourg vent souvent défavorable</t>
  </si>
  <si>
    <t>footing 40 mn
Fractionné 10 tours de terrain à chaque tour la distance rapide augmente (la distance recup diminue) 20m, 40m, 60m, 80m, 120, 140, 160, 180, 200
renforcement musculaire 200 pompes 200 sauts pieds joints (10 x 20)
abdo 10 series x 20 droite, gauche et  bas</t>
  </si>
  <si>
    <t>footing 30 mn (avec 4 côtes pour renforcement musculaire)
abdo 4 series : 20 pompes - 10 abdos - 10 dorso
20-20 sur 20 mn   20" course 20"repos (equivalant traversé de terrain)</t>
  </si>
  <si>
    <t>Bois d'Arcy (St gilles)</t>
  </si>
  <si>
    <t>entrainement rugby</t>
  </si>
  <si>
    <t>Footing 10 mn
20-20 sur 10 mn
course de cote 10 montée-descente de cote (avec renforcement musculaire sur les 5 dernières montées)
20-20 sur 5 mn
serie abdo 4 serie de 20 - 2 series de 20 dorsaux - 4 de 20 series pompes 
rugby</t>
  </si>
  <si>
    <t>Pile cardio</t>
  </si>
  <si>
    <t>match rugby</t>
  </si>
  <si>
    <t>rugby</t>
  </si>
  <si>
    <t>Magny les hameaux</t>
  </si>
  <si>
    <t>rugby match</t>
  </si>
  <si>
    <t>les 4 chateaux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</si>
</sst>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\-yyyy"/>
    <numFmt numFmtId="173" formatCode="h:mm"/>
    <numFmt numFmtId="174" formatCode="0.0"/>
    <numFmt numFmtId="175" formatCode="d\ mmmm\ yyyy"/>
    <numFmt numFmtId="176" formatCode="#,##0\ &quot;F&quot;"/>
  </numFmts>
  <fonts count="2">
    <font>
      <sz val="10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2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4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1" xfId="0" applyNumberFormat="1" applyBorder="1" applyAlignment="1">
      <alignment/>
    </xf>
    <xf numFmtId="172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4" fontId="0" fillId="2" borderId="0" xfId="0" applyNumberFormat="1" applyFill="1" applyAlignment="1">
      <alignment/>
    </xf>
    <xf numFmtId="0" fontId="0" fillId="2" borderId="5" xfId="0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4" fontId="0" fillId="3" borderId="0" xfId="0" applyNumberFormat="1" applyFill="1" applyAlignment="1" applyProtection="1">
      <alignment/>
      <protection locked="0"/>
    </xf>
    <xf numFmtId="0" fontId="0" fillId="0" borderId="0" xfId="0" applyNumberFormat="1" applyAlignment="1" quotePrefix="1">
      <alignment/>
    </xf>
    <xf numFmtId="0" fontId="0" fillId="0" borderId="0" xfId="0" applyAlignment="1" applyProtection="1">
      <alignment/>
      <protection locked="0"/>
    </xf>
    <xf numFmtId="172" fontId="0" fillId="0" borderId="3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7" xfId="0" applyNumberFormat="1" applyBorder="1" applyAlignment="1">
      <alignment horizontal="center"/>
    </xf>
    <xf numFmtId="172" fontId="1" fillId="0" borderId="10" xfId="0" applyNumberFormat="1" applyFont="1" applyBorder="1" applyAlignment="1" quotePrefix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4" fontId="0" fillId="4" borderId="10" xfId="0" applyNumberForma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1" fontId="0" fillId="4" borderId="10" xfId="0" applyNumberFormat="1" applyFont="1" applyFill="1" applyBorder="1" applyAlignment="1" applyProtection="1">
      <alignment/>
      <protection locked="0"/>
    </xf>
    <xf numFmtId="0" fontId="0" fillId="4" borderId="5" xfId="0" applyNumberFormat="1" applyFont="1" applyFill="1" applyBorder="1" applyAlignment="1" applyProtection="1">
      <alignment/>
      <protection locked="0"/>
    </xf>
    <xf numFmtId="0" fontId="0" fillId="4" borderId="5" xfId="0" applyNumberFormat="1" applyFont="1" applyFill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1" fontId="0" fillId="4" borderId="5" xfId="0" applyNumberFormat="1" applyFont="1" applyFill="1" applyBorder="1" applyAlignment="1" applyProtection="1">
      <alignment/>
      <protection locked="0"/>
    </xf>
    <xf numFmtId="174" fontId="0" fillId="0" borderId="4" xfId="0" applyNumberFormat="1" applyBorder="1" applyAlignment="1">
      <alignment horizontal="center" wrapText="1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 wrapText="1"/>
    </xf>
    <xf numFmtId="176" fontId="0" fillId="4" borderId="10" xfId="0" applyNumberFormat="1" applyFill="1" applyBorder="1" applyAlignment="1" applyProtection="1">
      <alignment/>
      <protection locked="0"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0" fontId="0" fillId="3" borderId="0" xfId="0" applyFill="1" applyAlignment="1">
      <alignment horizontal="center" textRotation="90" wrapText="1"/>
    </xf>
    <xf numFmtId="1" fontId="0" fillId="0" borderId="5" xfId="0" applyNumberFormat="1" applyBorder="1" applyAlignment="1">
      <alignment/>
    </xf>
    <xf numFmtId="176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2" borderId="8" xfId="0" applyFill="1" applyBorder="1" applyAlignment="1">
      <alignment horizontal="center" textRotation="90" wrapText="1"/>
    </xf>
    <xf numFmtId="0" fontId="0" fillId="4" borderId="8" xfId="0" applyNumberFormat="1" applyFill="1" applyBorder="1" applyAlignment="1">
      <alignment textRotation="90"/>
    </xf>
    <xf numFmtId="0" fontId="0" fillId="5" borderId="9" xfId="0" applyFill="1" applyBorder="1" applyAlignment="1">
      <alignment horizontal="center" textRotation="90" wrapText="1"/>
    </xf>
    <xf numFmtId="0" fontId="0" fillId="2" borderId="18" xfId="0" applyFill="1" applyBorder="1" applyAlignment="1">
      <alignment horizontal="center" textRotation="90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/>
    </xf>
    <xf numFmtId="0" fontId="0" fillId="2" borderId="24" xfId="0" applyFill="1" applyBorder="1" applyAlignment="1">
      <alignment wrapText="1"/>
    </xf>
    <xf numFmtId="0" fontId="0" fillId="4" borderId="0" xfId="0" applyFill="1" applyAlignment="1" applyProtection="1">
      <alignment/>
      <protection locked="0"/>
    </xf>
    <xf numFmtId="1" fontId="0" fillId="4" borderId="9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9" fontId="0" fillId="0" borderId="0" xfId="0" applyNumberFormat="1" applyAlignment="1">
      <alignment/>
    </xf>
    <xf numFmtId="1" fontId="0" fillId="6" borderId="0" xfId="0" applyNumberFormat="1" applyFill="1" applyAlignment="1">
      <alignment/>
    </xf>
    <xf numFmtId="1" fontId="0" fillId="7" borderId="0" xfId="0" applyNumberFormat="1" applyFill="1" applyAlignment="1">
      <alignment/>
    </xf>
    <xf numFmtId="1" fontId="0" fillId="8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4" borderId="10" xfId="0" applyNumberFormat="1" applyFill="1" applyBorder="1" applyAlignment="1" applyProtection="1">
      <alignment/>
      <protection locked="0"/>
    </xf>
    <xf numFmtId="0" fontId="0" fillId="0" borderId="3" xfId="0" applyNumberFormat="1" applyBorder="1" applyAlignment="1">
      <alignment horizontal="center"/>
    </xf>
    <xf numFmtId="0" fontId="0" fillId="4" borderId="10" xfId="0" applyNumberFormat="1" applyFill="1" applyBorder="1" applyAlignment="1" applyProtection="1">
      <alignment/>
      <protection locked="0"/>
    </xf>
    <xf numFmtId="0" fontId="0" fillId="0" borderId="11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 wrapText="1"/>
    </xf>
    <xf numFmtId="1" fontId="0" fillId="0" borderId="11" xfId="0" applyNumberFormat="1" applyBorder="1" applyAlignment="1">
      <alignment/>
    </xf>
    <xf numFmtId="0" fontId="0" fillId="4" borderId="8" xfId="0" applyNumberFormat="1" applyFill="1" applyBorder="1" applyAlignment="1">
      <alignment textRotation="90" wrapText="1"/>
    </xf>
    <xf numFmtId="1" fontId="0" fillId="0" borderId="2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9">
      <selection activeCell="B25" sqref="B25"/>
    </sheetView>
  </sheetViews>
  <sheetFormatPr defaultColWidth="11.421875" defaultRowHeight="12.75"/>
  <cols>
    <col min="1" max="1" width="27.7109375" style="0" bestFit="1" customWidth="1"/>
    <col min="2" max="2" width="10.8515625" style="0" bestFit="1" customWidth="1"/>
    <col min="3" max="3" width="10.8515625" style="0" hidden="1" customWidth="1"/>
    <col min="4" max="4" width="12.28125" style="0" hidden="1" customWidth="1"/>
    <col min="5" max="5" width="3.00390625" style="0" hidden="1" customWidth="1"/>
    <col min="6" max="6" width="0" style="0" hidden="1" customWidth="1"/>
    <col min="7" max="7" width="15.140625" style="0" bestFit="1" customWidth="1"/>
    <col min="8" max="8" width="18.7109375" style="0" bestFit="1" customWidth="1"/>
  </cols>
  <sheetData>
    <row r="2" spans="1:2" ht="12.75">
      <c r="A2" t="s">
        <v>89</v>
      </c>
      <c r="B2" s="89">
        <v>2000</v>
      </c>
    </row>
    <row r="4" spans="1:6" ht="12.75">
      <c r="A4" t="s">
        <v>90</v>
      </c>
      <c r="B4">
        <f>F4-E4</f>
        <v>29</v>
      </c>
      <c r="C4" t="str">
        <f>CONCATENATE("01/févr/",$B$2)</f>
        <v>01/févr/2000</v>
      </c>
      <c r="D4" t="str">
        <f>CONCATENATE("01/mars/",$B$2)</f>
        <v>01/mars/2000</v>
      </c>
      <c r="E4">
        <f>DATEVALUE(C4)</f>
        <v>36557</v>
      </c>
      <c r="F4">
        <f>DATEVALUE(D4)</f>
        <v>36586</v>
      </c>
    </row>
    <row r="5" spans="1:3" ht="12.75">
      <c r="A5" t="s">
        <v>92</v>
      </c>
      <c r="B5" s="2">
        <f>TIME(1,0,0)</f>
        <v>0.041666666666666664</v>
      </c>
      <c r="C5" s="2"/>
    </row>
    <row r="6" ht="13.5" thickBot="1"/>
    <row r="7" spans="1:2" ht="13.5" thickBot="1">
      <c r="A7" s="27" t="s">
        <v>15</v>
      </c>
      <c r="B7" s="90">
        <v>38</v>
      </c>
    </row>
    <row r="8" spans="1:3" ht="13.5" thickBot="1">
      <c r="A8" s="27" t="s">
        <v>16</v>
      </c>
      <c r="B8" s="28">
        <f>220-B7</f>
        <v>182</v>
      </c>
      <c r="C8" s="91"/>
    </row>
    <row r="10" spans="1:2" ht="12.75">
      <c r="A10" s="92">
        <v>0.6</v>
      </c>
      <c r="B10" s="1">
        <f>$B$8*A10</f>
        <v>109.2</v>
      </c>
    </row>
    <row r="11" spans="1:2" ht="12.75">
      <c r="A11" s="92">
        <v>0.65</v>
      </c>
      <c r="B11" s="1">
        <f aca="true" t="shared" si="0" ref="B11:B20">$B$8*A11</f>
        <v>118.3</v>
      </c>
    </row>
    <row r="12" spans="1:7" ht="12.75">
      <c r="A12" s="92">
        <v>0.7</v>
      </c>
      <c r="B12" s="93">
        <f t="shared" si="0"/>
        <v>127.39999999999999</v>
      </c>
      <c r="G12" t="s">
        <v>93</v>
      </c>
    </row>
    <row r="13" spans="1:2" ht="12.75">
      <c r="A13" s="92">
        <v>0.75</v>
      </c>
      <c r="B13" s="93">
        <f t="shared" si="0"/>
        <v>136.5</v>
      </c>
    </row>
    <row r="14" spans="1:2" ht="12.75">
      <c r="A14" s="92">
        <v>0.8</v>
      </c>
      <c r="B14" s="93">
        <f t="shared" si="0"/>
        <v>145.6</v>
      </c>
    </row>
    <row r="15" spans="1:7" ht="12.75">
      <c r="A15" s="92">
        <v>0.8</v>
      </c>
      <c r="B15" s="94">
        <f t="shared" si="0"/>
        <v>145.6</v>
      </c>
      <c r="G15" t="s">
        <v>94</v>
      </c>
    </row>
    <row r="16" spans="1:2" ht="12.75">
      <c r="A16" s="92">
        <v>0.85</v>
      </c>
      <c r="B16" s="94">
        <f t="shared" si="0"/>
        <v>154.7</v>
      </c>
    </row>
    <row r="17" spans="1:2" ht="12.75">
      <c r="A17" s="92">
        <v>0.88</v>
      </c>
      <c r="B17" s="94">
        <f t="shared" si="0"/>
        <v>160.16</v>
      </c>
    </row>
    <row r="18" spans="1:7" ht="12.75">
      <c r="A18" s="92">
        <v>0.88</v>
      </c>
      <c r="B18" s="95">
        <f t="shared" si="0"/>
        <v>160.16</v>
      </c>
      <c r="G18" t="s">
        <v>95</v>
      </c>
    </row>
    <row r="19" spans="1:2" ht="12.75">
      <c r="A19" s="92">
        <v>0.9</v>
      </c>
      <c r="B19" s="95">
        <f t="shared" si="0"/>
        <v>163.8</v>
      </c>
    </row>
    <row r="20" spans="1:2" ht="12.75">
      <c r="A20" s="92">
        <v>0.95</v>
      </c>
      <c r="B20" s="95">
        <f t="shared" si="0"/>
        <v>172.9</v>
      </c>
    </row>
    <row r="22" ht="12.75">
      <c r="A22" t="s">
        <v>96</v>
      </c>
    </row>
    <row r="23" spans="1:9" ht="12.75">
      <c r="A23" t="s">
        <v>97</v>
      </c>
      <c r="B23" s="49">
        <v>77</v>
      </c>
      <c r="I23">
        <f>(B23+B24+B25-200)/10</f>
        <v>7.6</v>
      </c>
    </row>
    <row r="24" spans="1:2" ht="51.75" thickBot="1">
      <c r="A24" s="96" t="s">
        <v>99</v>
      </c>
      <c r="B24" s="49">
        <v>114</v>
      </c>
    </row>
    <row r="25" spans="1:11" ht="12.75">
      <c r="A25" t="s">
        <v>98</v>
      </c>
      <c r="B25" s="49">
        <v>85</v>
      </c>
      <c r="G25" s="97" t="s">
        <v>100</v>
      </c>
      <c r="H25" s="98" t="s">
        <v>101</v>
      </c>
      <c r="J25" t="s">
        <v>109</v>
      </c>
      <c r="K25" t="s">
        <v>113</v>
      </c>
    </row>
    <row r="26" spans="2:11" ht="13.5" thickBot="1">
      <c r="B26" s="7">
        <f>((B24-70)+(2*(B25-B23)))/10</f>
        <v>6</v>
      </c>
      <c r="G26" s="99" t="s">
        <v>102</v>
      </c>
      <c r="H26" s="100" t="s">
        <v>103</v>
      </c>
      <c r="J26" t="s">
        <v>110</v>
      </c>
      <c r="K26" t="s">
        <v>114</v>
      </c>
    </row>
    <row r="27" spans="7:11" ht="13.5" thickBot="1">
      <c r="G27" s="101" t="s">
        <v>104</v>
      </c>
      <c r="H27" s="102" t="s">
        <v>105</v>
      </c>
      <c r="J27" t="s">
        <v>111</v>
      </c>
      <c r="K27" t="s">
        <v>115</v>
      </c>
    </row>
    <row r="28" spans="10:11" ht="12.75">
      <c r="J28" t="s">
        <v>112</v>
      </c>
      <c r="K28" t="s">
        <v>116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14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H32" sqref="H32"/>
    </sheetView>
  </sheetViews>
  <sheetFormatPr defaultColWidth="11.421875" defaultRowHeight="12.75"/>
  <cols>
    <col min="1" max="1" width="0" style="0" hidden="1" customWidth="1"/>
    <col min="2" max="2" width="5.00390625" style="40" bestFit="1" customWidth="1"/>
    <col min="3" max="3" width="2.28125" style="1" bestFit="1" customWidth="1"/>
    <col min="4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3" width="7.00390625" style="0" bestFit="1" customWidth="1"/>
    <col min="14" max="14" width="7.00390625" style="22" bestFit="1" customWidth="1"/>
    <col min="15" max="15" width="5.00390625" style="22" bestFit="1" customWidth="1"/>
    <col min="16" max="17" width="5.00390625" style="22" customWidth="1"/>
    <col min="18" max="18" width="5.7109375" style="59" customWidth="1"/>
    <col min="19" max="19" width="17.140625" style="0" bestFit="1" customWidth="1"/>
    <col min="20" max="20" width="12.00390625" style="1" hidden="1" customWidth="1"/>
    <col min="21" max="16384" width="2.8515625" style="0" customWidth="1"/>
  </cols>
  <sheetData>
    <row r="1" spans="2:20" ht="13.5" thickBot="1">
      <c r="B1" s="39"/>
      <c r="C1" s="117" t="s">
        <v>0</v>
      </c>
      <c r="D1" s="118"/>
      <c r="E1" s="119"/>
      <c r="F1" s="3"/>
      <c r="G1" s="3"/>
      <c r="H1" s="18"/>
      <c r="I1" s="4"/>
      <c r="J1" s="45"/>
      <c r="K1" s="120" t="s">
        <v>9</v>
      </c>
      <c r="L1" s="121"/>
      <c r="M1" s="122"/>
      <c r="N1" s="19" t="s">
        <v>14</v>
      </c>
      <c r="O1" s="19"/>
      <c r="P1" s="19"/>
      <c r="Q1" s="19"/>
      <c r="R1" s="56"/>
      <c r="S1" s="6"/>
      <c r="T1" s="1" t="s">
        <v>13</v>
      </c>
    </row>
    <row r="2" spans="2:20" ht="26.25" thickBot="1">
      <c r="B2" s="24" t="s">
        <v>58</v>
      </c>
      <c r="C2" s="10" t="s">
        <v>7</v>
      </c>
      <c r="D2" s="10" t="s">
        <v>8</v>
      </c>
      <c r="E2" s="10" t="s">
        <v>6</v>
      </c>
      <c r="F2" s="5" t="s">
        <v>4</v>
      </c>
      <c r="G2" s="43" t="s">
        <v>59</v>
      </c>
      <c r="H2" s="44" t="s">
        <v>61</v>
      </c>
      <c r="I2" s="5" t="s">
        <v>5</v>
      </c>
      <c r="J2" s="46" t="s">
        <v>2</v>
      </c>
      <c r="K2" s="11" t="s">
        <v>7</v>
      </c>
      <c r="L2" s="12" t="s">
        <v>8</v>
      </c>
      <c r="M2" s="12" t="s">
        <v>6</v>
      </c>
      <c r="N2" s="20"/>
      <c r="O2" s="55" t="s">
        <v>62</v>
      </c>
      <c r="P2" s="55" t="s">
        <v>63</v>
      </c>
      <c r="Q2" s="55"/>
      <c r="R2" s="57" t="s">
        <v>74</v>
      </c>
      <c r="S2" s="7" t="s">
        <v>10</v>
      </c>
      <c r="T2" s="2">
        <f>TIME(1,0,0)</f>
        <v>0.041666666666666664</v>
      </c>
    </row>
    <row r="3" spans="1:19" ht="12.75">
      <c r="A3" t="s">
        <v>86</v>
      </c>
      <c r="B3" s="42" t="s">
        <v>27</v>
      </c>
      <c r="C3" s="50"/>
      <c r="D3" s="50"/>
      <c r="E3" s="50"/>
      <c r="F3" s="51">
        <f aca="true" t="shared" si="0" ref="F3:F32">IF(G3="x",TIME(C3,D3,E3),"")</f>
      </c>
      <c r="G3" s="52"/>
      <c r="H3" s="51"/>
      <c r="I3" s="51">
        <f aca="true" t="shared" si="1" ref="I3:I32">IF(G3="x",F3*1000/H3,"")</f>
      </c>
      <c r="J3" s="53"/>
      <c r="K3" s="9">
        <f aca="true" t="shared" si="2" ref="K3:K32">IF(G3="x",HOUR(I3),"")</f>
      </c>
      <c r="L3" s="8">
        <f aca="true" t="shared" si="3" ref="L3:L32">IF(G3="x",MINUTE(I3),"")</f>
      </c>
      <c r="M3" s="9">
        <f aca="true" t="shared" si="4" ref="M3:M32">IF(G3="x",SECOND(I3),"")</f>
      </c>
      <c r="N3" s="21">
        <f aca="true" t="shared" si="5" ref="N3:N32">IF(G3="x",($T$2*H3/F3)/1000,"")</f>
      </c>
      <c r="O3" s="47"/>
      <c r="P3" s="47"/>
      <c r="Q3" s="47"/>
      <c r="R3" s="58"/>
      <c r="S3" s="48"/>
    </row>
    <row r="4" spans="1:19" ht="12.75">
      <c r="A4" t="s">
        <v>86</v>
      </c>
      <c r="B4" s="42" t="s">
        <v>28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47"/>
      <c r="P4" s="47"/>
      <c r="Q4" s="47"/>
      <c r="R4" s="58"/>
      <c r="S4" s="49"/>
    </row>
    <row r="5" spans="1:19" ht="12.75">
      <c r="A5" t="s">
        <v>86</v>
      </c>
      <c r="B5" s="42" t="s">
        <v>29</v>
      </c>
      <c r="C5" s="54">
        <v>1</v>
      </c>
      <c r="D5" s="54">
        <v>46</v>
      </c>
      <c r="E5" s="54">
        <v>36</v>
      </c>
      <c r="F5" s="51">
        <f t="shared" si="0"/>
        <v>0.07402777777777779</v>
      </c>
      <c r="G5" s="52" t="s">
        <v>60</v>
      </c>
      <c r="H5" s="51">
        <v>21100</v>
      </c>
      <c r="I5" s="51">
        <f t="shared" si="1"/>
        <v>0.0035084254870984734</v>
      </c>
      <c r="J5" s="53"/>
      <c r="K5" s="9">
        <f t="shared" si="2"/>
        <v>0</v>
      </c>
      <c r="L5" s="8">
        <f t="shared" si="3"/>
        <v>5</v>
      </c>
      <c r="M5" s="9">
        <f t="shared" si="4"/>
        <v>3</v>
      </c>
      <c r="N5" s="21">
        <f t="shared" si="5"/>
        <v>11.876172607879923</v>
      </c>
      <c r="O5" s="47"/>
      <c r="P5" s="47"/>
      <c r="Q5" s="47"/>
      <c r="R5" s="58">
        <v>50</v>
      </c>
      <c r="S5" s="49" t="s">
        <v>147</v>
      </c>
    </row>
    <row r="6" spans="1:19" ht="12.75">
      <c r="A6" t="s">
        <v>86</v>
      </c>
      <c r="B6" s="42" t="s">
        <v>30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47"/>
      <c r="P6" s="47"/>
      <c r="Q6" s="47"/>
      <c r="R6" s="58"/>
      <c r="S6" s="49"/>
    </row>
    <row r="7" spans="1:19" ht="12.75">
      <c r="A7" t="s">
        <v>86</v>
      </c>
      <c r="B7" s="42" t="s">
        <v>31</v>
      </c>
      <c r="C7" s="54">
        <v>1</v>
      </c>
      <c r="D7" s="54">
        <v>0</v>
      </c>
      <c r="E7" s="54">
        <v>0</v>
      </c>
      <c r="F7" s="51">
        <f t="shared" si="0"/>
        <v>0.041666666666666664</v>
      </c>
      <c r="G7" s="52" t="s">
        <v>60</v>
      </c>
      <c r="H7" s="51">
        <v>11000</v>
      </c>
      <c r="I7" s="51">
        <f t="shared" si="1"/>
        <v>0.0037878787878787876</v>
      </c>
      <c r="J7" s="53"/>
      <c r="K7" s="9">
        <f t="shared" si="2"/>
        <v>0</v>
      </c>
      <c r="L7" s="8">
        <f t="shared" si="3"/>
        <v>5</v>
      </c>
      <c r="M7" s="9">
        <f t="shared" si="4"/>
        <v>27</v>
      </c>
      <c r="N7" s="21">
        <f t="shared" si="5"/>
        <v>11</v>
      </c>
      <c r="O7" s="47"/>
      <c r="P7" s="47"/>
      <c r="Q7" s="47"/>
      <c r="R7" s="58"/>
      <c r="S7" s="49" t="s">
        <v>25</v>
      </c>
    </row>
    <row r="8" spans="1:19" ht="12.75">
      <c r="A8" t="s">
        <v>86</v>
      </c>
      <c r="B8" s="42" t="s">
        <v>32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47"/>
      <c r="R8" s="58"/>
      <c r="S8" s="49"/>
    </row>
    <row r="9" spans="1:19" ht="12.75">
      <c r="A9" t="s">
        <v>86</v>
      </c>
      <c r="B9" s="42" t="s">
        <v>33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47"/>
      <c r="P9" s="47"/>
      <c r="Q9" s="47"/>
      <c r="R9" s="58"/>
      <c r="S9" s="49"/>
    </row>
    <row r="10" spans="1:19" ht="12.75">
      <c r="A10" t="s">
        <v>86</v>
      </c>
      <c r="B10" s="42" t="s">
        <v>34</v>
      </c>
      <c r="C10" s="54"/>
      <c r="D10" s="54">
        <v>47</v>
      </c>
      <c r="E10" s="54">
        <v>20</v>
      </c>
      <c r="F10" s="51">
        <f t="shared" si="0"/>
        <v>0.032870370370370376</v>
      </c>
      <c r="G10" s="52" t="s">
        <v>60</v>
      </c>
      <c r="H10" s="51">
        <v>7500</v>
      </c>
      <c r="I10" s="51">
        <f t="shared" si="1"/>
        <v>0.004382716049382717</v>
      </c>
      <c r="J10" s="53"/>
      <c r="K10" s="9">
        <f t="shared" si="2"/>
        <v>0</v>
      </c>
      <c r="L10" s="8">
        <f t="shared" si="3"/>
        <v>6</v>
      </c>
      <c r="M10" s="9">
        <f t="shared" si="4"/>
        <v>19</v>
      </c>
      <c r="N10" s="21">
        <f t="shared" si="5"/>
        <v>9.507042253521126</v>
      </c>
      <c r="O10" s="47"/>
      <c r="P10" s="47"/>
      <c r="Q10" s="47"/>
      <c r="R10" s="58"/>
      <c r="S10" s="49"/>
    </row>
    <row r="11" spans="1:19" ht="12.75">
      <c r="A11" t="s">
        <v>86</v>
      </c>
      <c r="B11" s="42" t="s">
        <v>35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47"/>
      <c r="P11" s="47"/>
      <c r="Q11" s="47"/>
      <c r="R11" s="58"/>
      <c r="S11" s="49"/>
    </row>
    <row r="12" spans="1:19" ht="12.75">
      <c r="A12" t="s">
        <v>86</v>
      </c>
      <c r="B12" s="42" t="s">
        <v>36</v>
      </c>
      <c r="C12" s="54">
        <v>1</v>
      </c>
      <c r="D12" s="54">
        <v>49</v>
      </c>
      <c r="E12" s="54">
        <v>30</v>
      </c>
      <c r="F12" s="51">
        <f t="shared" si="0"/>
        <v>0.07604166666666666</v>
      </c>
      <c r="G12" s="52" t="s">
        <v>60</v>
      </c>
      <c r="H12" s="51">
        <v>21100</v>
      </c>
      <c r="I12" s="51">
        <f t="shared" si="1"/>
        <v>0.0036038704581358603</v>
      </c>
      <c r="J12" s="53"/>
      <c r="K12" s="9">
        <f t="shared" si="2"/>
        <v>0</v>
      </c>
      <c r="L12" s="8">
        <f t="shared" si="3"/>
        <v>5</v>
      </c>
      <c r="M12" s="9">
        <f t="shared" si="4"/>
        <v>11</v>
      </c>
      <c r="N12" s="21">
        <f t="shared" si="5"/>
        <v>11.561643835616438</v>
      </c>
      <c r="O12" s="47"/>
      <c r="P12" s="47"/>
      <c r="Q12" s="47"/>
      <c r="R12" s="58">
        <v>55</v>
      </c>
      <c r="S12" s="49" t="s">
        <v>150</v>
      </c>
    </row>
    <row r="13" spans="1:19" ht="12.75">
      <c r="A13" t="s">
        <v>86</v>
      </c>
      <c r="B13" s="42" t="s">
        <v>37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47"/>
      <c r="P13" s="47"/>
      <c r="Q13" s="47"/>
      <c r="R13" s="58"/>
      <c r="S13" s="49"/>
    </row>
    <row r="14" spans="1:19" ht="12.75">
      <c r="A14" t="s">
        <v>86</v>
      </c>
      <c r="B14" s="42" t="s">
        <v>38</v>
      </c>
      <c r="C14" s="54"/>
      <c r="D14" s="54">
        <v>59</v>
      </c>
      <c r="E14" s="54"/>
      <c r="F14" s="51">
        <f t="shared" si="0"/>
        <v>0.04097222222222222</v>
      </c>
      <c r="G14" s="52" t="s">
        <v>60</v>
      </c>
      <c r="H14" s="51">
        <v>11000</v>
      </c>
      <c r="I14" s="51">
        <f t="shared" si="1"/>
        <v>0.003724747474747475</v>
      </c>
      <c r="J14" s="53"/>
      <c r="K14" s="9">
        <f t="shared" si="2"/>
        <v>0</v>
      </c>
      <c r="L14" s="8">
        <f t="shared" si="3"/>
        <v>5</v>
      </c>
      <c r="M14" s="9">
        <f t="shared" si="4"/>
        <v>22</v>
      </c>
      <c r="N14" s="21">
        <f t="shared" si="5"/>
        <v>11.1864406779661</v>
      </c>
      <c r="O14" s="47"/>
      <c r="P14" s="47"/>
      <c r="Q14" s="47"/>
      <c r="R14" s="58"/>
      <c r="S14" s="49" t="s">
        <v>151</v>
      </c>
    </row>
    <row r="15" spans="1:19" ht="12.75">
      <c r="A15" t="s">
        <v>86</v>
      </c>
      <c r="B15" s="42" t="s">
        <v>39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47"/>
      <c r="P15" s="47"/>
      <c r="Q15" s="47"/>
      <c r="R15" s="58"/>
      <c r="S15" s="49"/>
    </row>
    <row r="16" spans="1:19" ht="12.75">
      <c r="A16" t="s">
        <v>86</v>
      </c>
      <c r="B16" s="42" t="s">
        <v>40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47"/>
      <c r="P16" s="47"/>
      <c r="Q16" s="47"/>
      <c r="R16" s="58"/>
      <c r="S16" s="49"/>
    </row>
    <row r="17" spans="1:19" ht="12.75">
      <c r="A17" t="s">
        <v>86</v>
      </c>
      <c r="B17" s="42" t="s">
        <v>41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47"/>
      <c r="P17" s="47"/>
      <c r="Q17" s="47"/>
      <c r="R17" s="58"/>
      <c r="S17" s="49" t="s">
        <v>124</v>
      </c>
    </row>
    <row r="18" spans="1:19" ht="12.75">
      <c r="A18" t="s">
        <v>86</v>
      </c>
      <c r="B18" s="42" t="s">
        <v>42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47"/>
      <c r="P18" s="47"/>
      <c r="Q18" s="47"/>
      <c r="R18" s="58"/>
      <c r="S18" s="49"/>
    </row>
    <row r="19" spans="1:19" ht="12.75">
      <c r="A19" t="s">
        <v>86</v>
      </c>
      <c r="B19" s="42" t="s">
        <v>43</v>
      </c>
      <c r="C19" s="54">
        <v>1</v>
      </c>
      <c r="D19" s="54">
        <v>36</v>
      </c>
      <c r="E19" s="54"/>
      <c r="F19" s="51">
        <f t="shared" si="0"/>
        <v>0.06666666666666667</v>
      </c>
      <c r="G19" s="52" t="s">
        <v>60</v>
      </c>
      <c r="H19" s="51">
        <v>16500</v>
      </c>
      <c r="I19" s="51">
        <f t="shared" si="1"/>
        <v>0.00404040404040404</v>
      </c>
      <c r="J19" s="53"/>
      <c r="K19" s="9">
        <f t="shared" si="2"/>
        <v>0</v>
      </c>
      <c r="L19" s="8">
        <f t="shared" si="3"/>
        <v>5</v>
      </c>
      <c r="M19" s="9">
        <f t="shared" si="4"/>
        <v>49</v>
      </c>
      <c r="N19" s="21">
        <f t="shared" si="5"/>
        <v>10.3125</v>
      </c>
      <c r="O19" s="47"/>
      <c r="P19" s="47"/>
      <c r="Q19" s="47"/>
      <c r="R19" s="58"/>
      <c r="S19" s="49"/>
    </row>
    <row r="20" spans="1:19" ht="12.75">
      <c r="A20" t="s">
        <v>86</v>
      </c>
      <c r="B20" s="42" t="s">
        <v>44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47"/>
      <c r="P20" s="47"/>
      <c r="Q20" s="47"/>
      <c r="R20" s="58"/>
      <c r="S20" s="49"/>
    </row>
    <row r="21" spans="1:19" ht="12.75">
      <c r="A21" t="s">
        <v>86</v>
      </c>
      <c r="B21" s="42" t="s">
        <v>45</v>
      </c>
      <c r="C21" s="54"/>
      <c r="D21" s="54">
        <v>40</v>
      </c>
      <c r="E21" s="54"/>
      <c r="F21" s="51">
        <f t="shared" si="0"/>
        <v>0.027777777777777776</v>
      </c>
      <c r="G21" s="52" t="s">
        <v>60</v>
      </c>
      <c r="H21" s="51">
        <v>7000</v>
      </c>
      <c r="I21" s="51">
        <f t="shared" si="1"/>
        <v>0.003968253968253968</v>
      </c>
      <c r="J21" s="53"/>
      <c r="K21" s="9">
        <f t="shared" si="2"/>
        <v>0</v>
      </c>
      <c r="L21" s="8">
        <f t="shared" si="3"/>
        <v>5</v>
      </c>
      <c r="M21" s="9">
        <f t="shared" si="4"/>
        <v>43</v>
      </c>
      <c r="N21" s="21">
        <f t="shared" si="5"/>
        <v>10.5</v>
      </c>
      <c r="O21" s="47"/>
      <c r="P21" s="47"/>
      <c r="Q21" s="47"/>
      <c r="R21" s="58"/>
      <c r="S21" s="49" t="s">
        <v>25</v>
      </c>
    </row>
    <row r="22" spans="1:19" ht="12.75">
      <c r="A22" t="s">
        <v>86</v>
      </c>
      <c r="B22" s="42" t="s">
        <v>46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47"/>
      <c r="P22" s="47"/>
      <c r="Q22" s="47"/>
      <c r="R22" s="58"/>
      <c r="S22" s="49"/>
    </row>
    <row r="23" spans="1:19" ht="12.75">
      <c r="A23" t="s">
        <v>86</v>
      </c>
      <c r="B23" s="42" t="s">
        <v>47</v>
      </c>
      <c r="C23" s="54"/>
      <c r="D23" s="54"/>
      <c r="E23" s="54"/>
      <c r="F23" s="51">
        <f t="shared" si="0"/>
      </c>
      <c r="G23" s="52"/>
      <c r="H23" s="51"/>
      <c r="I23" s="51">
        <f t="shared" si="1"/>
      </c>
      <c r="J23" s="53"/>
      <c r="K23" s="9">
        <f t="shared" si="2"/>
      </c>
      <c r="L23" s="8">
        <f t="shared" si="3"/>
      </c>
      <c r="M23" s="9">
        <f t="shared" si="4"/>
      </c>
      <c r="N23" s="21">
        <f t="shared" si="5"/>
      </c>
      <c r="O23" s="47"/>
      <c r="P23" s="47"/>
      <c r="Q23" s="47"/>
      <c r="R23" s="58"/>
      <c r="S23" s="49"/>
    </row>
    <row r="24" spans="1:19" ht="12.75">
      <c r="A24" t="s">
        <v>86</v>
      </c>
      <c r="B24" s="42" t="s">
        <v>48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47"/>
      <c r="R24" s="58"/>
      <c r="S24" s="49"/>
    </row>
    <row r="25" spans="1:19" ht="12.75">
      <c r="A25" t="s">
        <v>86</v>
      </c>
      <c r="B25" s="42" t="s">
        <v>49</v>
      </c>
      <c r="C25" s="54">
        <v>1</v>
      </c>
      <c r="D25" s="54">
        <v>17</v>
      </c>
      <c r="E25" s="54">
        <v>30</v>
      </c>
      <c r="F25" s="51">
        <f t="shared" si="0"/>
        <v>0.05381944444444445</v>
      </c>
      <c r="G25" s="52" t="s">
        <v>60</v>
      </c>
      <c r="H25" s="51">
        <v>13000</v>
      </c>
      <c r="I25" s="51">
        <f t="shared" si="1"/>
        <v>0.004139957264957265</v>
      </c>
      <c r="J25" s="53"/>
      <c r="K25" s="9">
        <f t="shared" si="2"/>
        <v>0</v>
      </c>
      <c r="L25" s="8">
        <f t="shared" si="3"/>
        <v>5</v>
      </c>
      <c r="M25" s="9">
        <f t="shared" si="4"/>
        <v>58</v>
      </c>
      <c r="N25" s="21">
        <f t="shared" si="5"/>
        <v>10.064516129032258</v>
      </c>
      <c r="O25" s="47"/>
      <c r="P25" s="47"/>
      <c r="Q25" s="47"/>
      <c r="R25" s="58"/>
      <c r="S25" s="49"/>
    </row>
    <row r="26" spans="1:19" ht="12.75">
      <c r="A26" t="s">
        <v>86</v>
      </c>
      <c r="B26" s="42" t="s">
        <v>50</v>
      </c>
      <c r="C26" s="54">
        <v>1</v>
      </c>
      <c r="D26" s="54">
        <v>12</v>
      </c>
      <c r="E26" s="54">
        <v>25</v>
      </c>
      <c r="F26" s="51">
        <f t="shared" si="0"/>
        <v>0.05028935185185185</v>
      </c>
      <c r="G26" s="52" t="s">
        <v>60</v>
      </c>
      <c r="H26" s="51">
        <v>12500</v>
      </c>
      <c r="I26" s="51">
        <f t="shared" si="1"/>
        <v>0.004023148148148148</v>
      </c>
      <c r="J26" s="53"/>
      <c r="K26" s="9">
        <f t="shared" si="2"/>
        <v>0</v>
      </c>
      <c r="L26" s="8">
        <f t="shared" si="3"/>
        <v>5</v>
      </c>
      <c r="M26" s="9">
        <f t="shared" si="4"/>
        <v>48</v>
      </c>
      <c r="N26" s="21">
        <f t="shared" si="5"/>
        <v>10.356731875719216</v>
      </c>
      <c r="O26" s="47"/>
      <c r="P26" s="47"/>
      <c r="Q26" s="47"/>
      <c r="R26" s="58"/>
      <c r="S26" s="49"/>
    </row>
    <row r="27" spans="1:19" ht="12.75">
      <c r="A27" t="s">
        <v>86</v>
      </c>
      <c r="B27" s="42" t="s">
        <v>51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47"/>
      <c r="P27" s="47"/>
      <c r="Q27" s="47"/>
      <c r="R27" s="58"/>
      <c r="S27" s="49"/>
    </row>
    <row r="28" spans="1:19" ht="12.75">
      <c r="A28" t="s">
        <v>86</v>
      </c>
      <c r="B28" s="42" t="s">
        <v>52</v>
      </c>
      <c r="C28" s="54"/>
      <c r="D28" s="54">
        <v>35</v>
      </c>
      <c r="E28" s="54"/>
      <c r="F28" s="51">
        <f t="shared" si="0"/>
        <v>0.024305555555555556</v>
      </c>
      <c r="G28" s="52" t="s">
        <v>60</v>
      </c>
      <c r="H28" s="51">
        <v>7000</v>
      </c>
      <c r="I28" s="51">
        <f t="shared" si="1"/>
        <v>0.0034722222222222225</v>
      </c>
      <c r="J28" s="53"/>
      <c r="K28" s="9">
        <f t="shared" si="2"/>
        <v>0</v>
      </c>
      <c r="L28" s="8">
        <f t="shared" si="3"/>
        <v>5</v>
      </c>
      <c r="M28" s="9">
        <f t="shared" si="4"/>
        <v>0</v>
      </c>
      <c r="N28" s="21">
        <f t="shared" si="5"/>
        <v>11.999999999999998</v>
      </c>
      <c r="O28" s="47"/>
      <c r="P28" s="47"/>
      <c r="Q28" s="47"/>
      <c r="R28" s="58"/>
      <c r="S28" s="49" t="s">
        <v>25</v>
      </c>
    </row>
    <row r="29" spans="1:19" ht="12.75">
      <c r="A29" t="s">
        <v>86</v>
      </c>
      <c r="B29" s="42" t="s">
        <v>53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47"/>
      <c r="P29" s="47"/>
      <c r="Q29" s="47"/>
      <c r="R29" s="58"/>
      <c r="S29" s="49"/>
    </row>
    <row r="30" spans="1:19" ht="12.75">
      <c r="A30" t="s">
        <v>86</v>
      </c>
      <c r="B30" s="42" t="s">
        <v>54</v>
      </c>
      <c r="C30" s="54">
        <v>1</v>
      </c>
      <c r="D30" s="54">
        <v>2</v>
      </c>
      <c r="E30" s="54"/>
      <c r="F30" s="51">
        <f t="shared" si="0"/>
        <v>0.04305555555555556</v>
      </c>
      <c r="G30" s="52" t="s">
        <v>60</v>
      </c>
      <c r="H30" s="51">
        <v>10500</v>
      </c>
      <c r="I30" s="51">
        <f t="shared" si="1"/>
        <v>0.004100529100529101</v>
      </c>
      <c r="J30" s="53"/>
      <c r="K30" s="9">
        <f t="shared" si="2"/>
        <v>0</v>
      </c>
      <c r="L30" s="8">
        <f t="shared" si="3"/>
        <v>5</v>
      </c>
      <c r="M30" s="9">
        <f t="shared" si="4"/>
        <v>54</v>
      </c>
      <c r="N30" s="21">
        <f t="shared" si="5"/>
        <v>10.161290322580644</v>
      </c>
      <c r="O30" s="47"/>
      <c r="P30" s="47"/>
      <c r="Q30" s="47"/>
      <c r="R30" s="58"/>
      <c r="S30" s="49"/>
    </row>
    <row r="31" spans="1:19" ht="12.75">
      <c r="A31" t="s">
        <v>86</v>
      </c>
      <c r="B31" s="42" t="s">
        <v>55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47"/>
      <c r="P31" s="47"/>
      <c r="Q31" s="47"/>
      <c r="R31" s="58"/>
      <c r="S31" s="49"/>
    </row>
    <row r="32" spans="1:19" ht="12.75">
      <c r="A32" t="s">
        <v>86</v>
      </c>
      <c r="B32" s="42" t="s">
        <v>56</v>
      </c>
      <c r="C32" s="54"/>
      <c r="D32" s="54">
        <v>55</v>
      </c>
      <c r="E32" s="54"/>
      <c r="F32" s="51">
        <f t="shared" si="0"/>
        <v>0.03819444444444444</v>
      </c>
      <c r="G32" s="52" t="s">
        <v>60</v>
      </c>
      <c r="H32" s="51">
        <v>9500</v>
      </c>
      <c r="I32" s="51">
        <f t="shared" si="1"/>
        <v>0.00402046783625731</v>
      </c>
      <c r="J32" s="53"/>
      <c r="K32" s="9">
        <f t="shared" si="2"/>
        <v>0</v>
      </c>
      <c r="L32" s="8">
        <f t="shared" si="3"/>
        <v>5</v>
      </c>
      <c r="M32" s="9">
        <f t="shared" si="4"/>
        <v>47</v>
      </c>
      <c r="N32" s="21">
        <f t="shared" si="5"/>
        <v>10.363636363636363</v>
      </c>
      <c r="O32" s="47"/>
      <c r="P32" s="47"/>
      <c r="Q32" s="47"/>
      <c r="R32" s="58"/>
      <c r="S32" s="49"/>
    </row>
    <row r="34" ht="13.5" thickBot="1"/>
    <row r="35" spans="2:19" ht="13.5" thickBot="1">
      <c r="B35" s="41" t="s">
        <v>24</v>
      </c>
      <c r="C35" s="16">
        <f>HOUR(F35)</f>
        <v>13</v>
      </c>
      <c r="D35" s="16">
        <f>MINUTE(F35)</f>
        <v>40</v>
      </c>
      <c r="E35" s="17">
        <f>SECOND(F35)</f>
        <v>21</v>
      </c>
      <c r="F35" s="2">
        <f>SUMIF($G$3:$G$32,"x",F3:F32)</f>
        <v>0.5696875</v>
      </c>
      <c r="G35" s="29">
        <f>COUNTIF(G3:G32,"x")</f>
        <v>12</v>
      </c>
      <c r="H35" s="2">
        <f>SUMIF($G$3:$G$32,"x",H3:H32)</f>
        <v>147700</v>
      </c>
      <c r="I35" s="2">
        <f>AVERAGE(I3:I33)</f>
        <v>0.0038977184031679483</v>
      </c>
      <c r="K35" s="13">
        <f>IF(G35=0,"",HOUR(I35))</f>
        <v>0</v>
      </c>
      <c r="L35" s="14">
        <f>IF(G35=0,"",MINUTE(I35))</f>
        <v>5</v>
      </c>
      <c r="M35" s="14">
        <f>IF(G35=0,"",SECOND(I35))</f>
        <v>37</v>
      </c>
      <c r="N35" s="23">
        <f>IF(G35=0,"",($T$2*H35/F35)/1000)</f>
        <v>10.802706162004021</v>
      </c>
      <c r="O35" s="23"/>
      <c r="P35" s="23"/>
      <c r="Q35" s="23"/>
      <c r="R35" s="60">
        <f>SUM(R3:R32)</f>
        <v>105</v>
      </c>
      <c r="S35" s="15" t="s">
        <v>11</v>
      </c>
    </row>
  </sheetData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15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S27" sqref="S27"/>
    </sheetView>
  </sheetViews>
  <sheetFormatPr defaultColWidth="11.421875" defaultRowHeight="12.75"/>
  <cols>
    <col min="1" max="1" width="0" style="0" hidden="1" customWidth="1"/>
    <col min="2" max="2" width="5.00390625" style="40" bestFit="1" customWidth="1"/>
    <col min="3" max="3" width="2.28125" style="1" bestFit="1" customWidth="1"/>
    <col min="4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3" width="7.00390625" style="0" bestFit="1" customWidth="1"/>
    <col min="14" max="14" width="7.00390625" style="22" bestFit="1" customWidth="1"/>
    <col min="15" max="15" width="5.57421875" style="1" bestFit="1" customWidth="1"/>
    <col min="16" max="16" width="5.00390625" style="1" customWidth="1"/>
    <col min="17" max="17" width="5.00390625" style="22" customWidth="1"/>
    <col min="18" max="18" width="5.7109375" style="59" customWidth="1"/>
    <col min="19" max="19" width="17.140625" style="0" bestFit="1" customWidth="1"/>
    <col min="20" max="20" width="12.00390625" style="1" hidden="1" customWidth="1"/>
    <col min="21" max="16384" width="2.8515625" style="0" customWidth="1"/>
  </cols>
  <sheetData>
    <row r="1" spans="2:20" ht="13.5" thickBot="1">
      <c r="B1" s="39"/>
      <c r="C1" s="117" t="s">
        <v>0</v>
      </c>
      <c r="D1" s="118"/>
      <c r="E1" s="119"/>
      <c r="F1" s="3"/>
      <c r="G1" s="3"/>
      <c r="H1" s="18"/>
      <c r="I1" s="4"/>
      <c r="J1" s="45"/>
      <c r="K1" s="120" t="s">
        <v>9</v>
      </c>
      <c r="L1" s="121"/>
      <c r="M1" s="122"/>
      <c r="N1" s="19" t="s">
        <v>14</v>
      </c>
      <c r="O1" s="113"/>
      <c r="P1" s="113"/>
      <c r="Q1" s="19"/>
      <c r="R1" s="56"/>
      <c r="S1" s="6"/>
      <c r="T1" s="1" t="s">
        <v>13</v>
      </c>
    </row>
    <row r="2" spans="2:20" ht="26.25" thickBot="1">
      <c r="B2" s="24" t="s">
        <v>58</v>
      </c>
      <c r="C2" s="10" t="s">
        <v>7</v>
      </c>
      <c r="D2" s="10" t="s">
        <v>8</v>
      </c>
      <c r="E2" s="10" t="s">
        <v>6</v>
      </c>
      <c r="F2" s="5" t="s">
        <v>4</v>
      </c>
      <c r="G2" s="43" t="s">
        <v>59</v>
      </c>
      <c r="H2" s="44" t="s">
        <v>61</v>
      </c>
      <c r="I2" s="5" t="s">
        <v>5</v>
      </c>
      <c r="J2" s="46" t="s">
        <v>2</v>
      </c>
      <c r="K2" s="11" t="s">
        <v>7</v>
      </c>
      <c r="L2" s="12" t="s">
        <v>8</v>
      </c>
      <c r="M2" s="12" t="s">
        <v>6</v>
      </c>
      <c r="N2" s="20"/>
      <c r="O2" s="114" t="s">
        <v>62</v>
      </c>
      <c r="P2" s="114" t="s">
        <v>63</v>
      </c>
      <c r="Q2" s="55"/>
      <c r="R2" s="57" t="s">
        <v>74</v>
      </c>
      <c r="S2" s="7" t="s">
        <v>10</v>
      </c>
      <c r="T2" s="2">
        <f>TIME(1,0,0)</f>
        <v>0.041666666666666664</v>
      </c>
    </row>
    <row r="3" spans="1:19" ht="12.75">
      <c r="A3" t="s">
        <v>87</v>
      </c>
      <c r="B3" s="42" t="s">
        <v>27</v>
      </c>
      <c r="C3" s="50">
        <v>1</v>
      </c>
      <c r="D3" s="50">
        <v>20</v>
      </c>
      <c r="E3" s="50"/>
      <c r="F3" s="51">
        <f aca="true" t="shared" si="0" ref="F3:F33">IF(G3="x",TIME(C3,D3,E3),"")</f>
      </c>
      <c r="G3" s="52"/>
      <c r="H3" s="51"/>
      <c r="I3" s="51">
        <f aca="true" t="shared" si="1" ref="I3:I33">IF(G3="x",F3*1000/H3,"")</f>
      </c>
      <c r="J3" s="53"/>
      <c r="K3" s="9">
        <f aca="true" t="shared" si="2" ref="K3:K33">IF(G3="x",HOUR(I3),"")</f>
      </c>
      <c r="L3" s="8">
        <f aca="true" t="shared" si="3" ref="L3:L33">IF(G3="x",MINUTE(I3),"")</f>
      </c>
      <c r="M3" s="9">
        <f aca="true" t="shared" si="4" ref="M3:M33">IF(G3="x",SECOND(I3),"")</f>
      </c>
      <c r="N3" s="21">
        <f aca="true" t="shared" si="5" ref="N3:N33">IF(G3="x",($T$2*H3/F3)/1000,"")</f>
      </c>
      <c r="O3" s="109"/>
      <c r="P3" s="109"/>
      <c r="Q3" s="47"/>
      <c r="R3" s="58"/>
      <c r="S3" s="48" t="s">
        <v>154</v>
      </c>
    </row>
    <row r="4" spans="1:19" ht="12.75">
      <c r="A4" t="s">
        <v>87</v>
      </c>
      <c r="B4" s="42" t="s">
        <v>28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109"/>
      <c r="P4" s="109"/>
      <c r="Q4" s="47"/>
      <c r="R4" s="58">
        <v>50</v>
      </c>
      <c r="S4" s="49" t="s">
        <v>153</v>
      </c>
    </row>
    <row r="5" spans="1:19" ht="12.75">
      <c r="A5" t="s">
        <v>87</v>
      </c>
      <c r="B5" s="42" t="s">
        <v>29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109"/>
      <c r="P5" s="109"/>
      <c r="Q5" s="47"/>
      <c r="R5" s="58"/>
      <c r="S5" s="49"/>
    </row>
    <row r="6" spans="1:19" ht="12.75">
      <c r="A6" t="s">
        <v>87</v>
      </c>
      <c r="B6" s="42" t="s">
        <v>30</v>
      </c>
      <c r="C6" s="54">
        <v>1</v>
      </c>
      <c r="D6" s="54">
        <v>0</v>
      </c>
      <c r="E6" s="54"/>
      <c r="F6" s="51">
        <f t="shared" si="0"/>
        <v>0.041666666666666664</v>
      </c>
      <c r="G6" s="52" t="s">
        <v>60</v>
      </c>
      <c r="H6" s="51">
        <v>10800</v>
      </c>
      <c r="I6" s="51">
        <f t="shared" si="1"/>
        <v>0.0038580246913580245</v>
      </c>
      <c r="J6" s="53"/>
      <c r="K6" s="9">
        <f t="shared" si="2"/>
        <v>0</v>
      </c>
      <c r="L6" s="8">
        <f t="shared" si="3"/>
        <v>5</v>
      </c>
      <c r="M6" s="9">
        <f t="shared" si="4"/>
        <v>33</v>
      </c>
      <c r="N6" s="21">
        <f t="shared" si="5"/>
        <v>10.8</v>
      </c>
      <c r="O6" s="109">
        <v>127</v>
      </c>
      <c r="P6" s="109">
        <v>147</v>
      </c>
      <c r="Q6" s="47"/>
      <c r="R6" s="58"/>
      <c r="S6" s="49"/>
    </row>
    <row r="7" spans="1:19" ht="12.75">
      <c r="A7" t="s">
        <v>87</v>
      </c>
      <c r="B7" s="42" t="s">
        <v>31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 t="shared" si="5"/>
      </c>
      <c r="O7" s="109"/>
      <c r="P7" s="109"/>
      <c r="Q7" s="47"/>
      <c r="R7" s="58"/>
      <c r="S7" s="49"/>
    </row>
    <row r="8" spans="1:19" ht="12.75">
      <c r="A8" t="s">
        <v>87</v>
      </c>
      <c r="B8" s="42" t="s">
        <v>32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109"/>
      <c r="P8" s="109"/>
      <c r="Q8" s="47"/>
      <c r="R8" s="58"/>
      <c r="S8" s="49"/>
    </row>
    <row r="9" spans="1:19" ht="12.75">
      <c r="A9" t="s">
        <v>87</v>
      </c>
      <c r="B9" s="42" t="s">
        <v>33</v>
      </c>
      <c r="C9" s="54">
        <v>1</v>
      </c>
      <c r="D9" s="54">
        <v>3</v>
      </c>
      <c r="E9" s="54"/>
      <c r="F9" s="51">
        <f t="shared" si="0"/>
        <v>0.043750000000000004</v>
      </c>
      <c r="G9" s="52" t="s">
        <v>60</v>
      </c>
      <c r="H9" s="51">
        <v>10800</v>
      </c>
      <c r="I9" s="51">
        <f t="shared" si="1"/>
        <v>0.004050925925925927</v>
      </c>
      <c r="J9" s="53"/>
      <c r="K9" s="9">
        <f t="shared" si="2"/>
        <v>0</v>
      </c>
      <c r="L9" s="8">
        <f t="shared" si="3"/>
        <v>5</v>
      </c>
      <c r="M9" s="9">
        <f t="shared" si="4"/>
        <v>50</v>
      </c>
      <c r="N9" s="21">
        <f t="shared" si="5"/>
        <v>10.285714285714285</v>
      </c>
      <c r="O9" s="109">
        <v>127</v>
      </c>
      <c r="P9" s="109">
        <v>137</v>
      </c>
      <c r="Q9" s="47"/>
      <c r="R9" s="58"/>
      <c r="S9" s="49"/>
    </row>
    <row r="10" spans="1:19" ht="12.75">
      <c r="A10" t="s">
        <v>87</v>
      </c>
      <c r="B10" s="42" t="s">
        <v>34</v>
      </c>
      <c r="C10" s="54">
        <v>1</v>
      </c>
      <c r="D10" s="54">
        <v>21</v>
      </c>
      <c r="E10" s="54">
        <v>30</v>
      </c>
      <c r="F10" s="51">
        <f t="shared" si="0"/>
        <v>0.05659722222222222</v>
      </c>
      <c r="G10" s="52" t="s">
        <v>60</v>
      </c>
      <c r="H10" s="51">
        <v>14500</v>
      </c>
      <c r="I10" s="51">
        <f t="shared" si="1"/>
        <v>0.0039032567049808427</v>
      </c>
      <c r="J10" s="53"/>
      <c r="K10" s="9">
        <f t="shared" si="2"/>
        <v>0</v>
      </c>
      <c r="L10" s="8">
        <f t="shared" si="3"/>
        <v>5</v>
      </c>
      <c r="M10" s="9">
        <f t="shared" si="4"/>
        <v>37</v>
      </c>
      <c r="N10" s="21">
        <f t="shared" si="5"/>
        <v>10.67484662576687</v>
      </c>
      <c r="O10" s="109">
        <v>127</v>
      </c>
      <c r="P10" s="109">
        <v>140</v>
      </c>
      <c r="Q10" s="47"/>
      <c r="R10" s="58"/>
      <c r="S10" s="49"/>
    </row>
    <row r="11" spans="1:19" ht="12.75">
      <c r="A11" t="s">
        <v>87</v>
      </c>
      <c r="B11" s="42" t="s">
        <v>35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109"/>
      <c r="P11" s="109"/>
      <c r="Q11" s="47"/>
      <c r="R11" s="58"/>
      <c r="S11" s="49"/>
    </row>
    <row r="12" spans="1:19" ht="12.75">
      <c r="A12" t="s">
        <v>87</v>
      </c>
      <c r="B12" s="42" t="s">
        <v>36</v>
      </c>
      <c r="C12" s="54">
        <v>1</v>
      </c>
      <c r="D12" s="54">
        <v>30</v>
      </c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109"/>
      <c r="P12" s="109"/>
      <c r="Q12" s="47"/>
      <c r="R12" s="58"/>
      <c r="S12" s="49" t="s">
        <v>151</v>
      </c>
    </row>
    <row r="13" spans="1:19" ht="12.75">
      <c r="A13" t="s">
        <v>87</v>
      </c>
      <c r="B13" s="42" t="s">
        <v>37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109"/>
      <c r="P13" s="109"/>
      <c r="Q13" s="47"/>
      <c r="R13" s="58"/>
      <c r="S13" s="49"/>
    </row>
    <row r="14" spans="1:19" ht="12.75">
      <c r="A14" t="s">
        <v>87</v>
      </c>
      <c r="B14" s="42" t="s">
        <v>38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109"/>
      <c r="P14" s="109"/>
      <c r="Q14" s="47"/>
      <c r="R14" s="58"/>
      <c r="S14" s="49"/>
    </row>
    <row r="15" spans="1:19" ht="12.75">
      <c r="A15" t="s">
        <v>87</v>
      </c>
      <c r="B15" s="42" t="s">
        <v>39</v>
      </c>
      <c r="C15" s="54">
        <v>1</v>
      </c>
      <c r="D15" s="54">
        <v>30</v>
      </c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109"/>
      <c r="P15" s="109"/>
      <c r="Q15" s="47"/>
      <c r="R15" s="58"/>
      <c r="S15" s="49" t="s">
        <v>151</v>
      </c>
    </row>
    <row r="16" spans="1:19" ht="12.75">
      <c r="A16" t="s">
        <v>87</v>
      </c>
      <c r="B16" s="42" t="s">
        <v>40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109"/>
      <c r="P16" s="109"/>
      <c r="Q16" s="47"/>
      <c r="R16" s="58"/>
      <c r="S16" s="49"/>
    </row>
    <row r="17" spans="1:19" ht="12.75">
      <c r="A17" t="s">
        <v>87</v>
      </c>
      <c r="B17" s="42" t="s">
        <v>41</v>
      </c>
      <c r="C17" s="54"/>
      <c r="D17" s="54">
        <v>30</v>
      </c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109"/>
      <c r="P17" s="109"/>
      <c r="Q17" s="47"/>
      <c r="R17" s="58"/>
      <c r="S17" s="49" t="s">
        <v>155</v>
      </c>
    </row>
    <row r="18" spans="1:19" ht="12.75">
      <c r="A18" t="s">
        <v>87</v>
      </c>
      <c r="B18" s="42" t="s">
        <v>42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109"/>
      <c r="P18" s="109"/>
      <c r="Q18" s="47"/>
      <c r="R18" s="58"/>
      <c r="S18" s="49"/>
    </row>
    <row r="19" spans="1:19" ht="12.75">
      <c r="A19" t="s">
        <v>87</v>
      </c>
      <c r="B19" s="42" t="s">
        <v>43</v>
      </c>
      <c r="C19" s="54">
        <v>1</v>
      </c>
      <c r="D19" s="54">
        <v>30</v>
      </c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109"/>
      <c r="P19" s="109"/>
      <c r="Q19" s="47"/>
      <c r="R19" s="58"/>
      <c r="S19" s="49" t="s">
        <v>151</v>
      </c>
    </row>
    <row r="20" spans="1:19" ht="12.75">
      <c r="A20" t="s">
        <v>87</v>
      </c>
      <c r="B20" s="42" t="s">
        <v>44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109"/>
      <c r="P20" s="109"/>
      <c r="Q20" s="47"/>
      <c r="R20" s="58"/>
      <c r="S20" s="49"/>
    </row>
    <row r="21" spans="1:19" ht="12.75">
      <c r="A21" t="s">
        <v>87</v>
      </c>
      <c r="B21" s="42" t="s">
        <v>45</v>
      </c>
      <c r="C21" s="54"/>
      <c r="D21" s="54">
        <v>53</v>
      </c>
      <c r="E21" s="54"/>
      <c r="F21" s="51">
        <f t="shared" si="0"/>
        <v>0.03680555555555556</v>
      </c>
      <c r="G21" s="52" t="s">
        <v>60</v>
      </c>
      <c r="H21" s="51">
        <v>9500</v>
      </c>
      <c r="I21" s="51">
        <f t="shared" si="1"/>
        <v>0.0038742690058479533</v>
      </c>
      <c r="J21" s="53"/>
      <c r="K21" s="9">
        <f t="shared" si="2"/>
        <v>0</v>
      </c>
      <c r="L21" s="8">
        <f t="shared" si="3"/>
        <v>5</v>
      </c>
      <c r="M21" s="9">
        <f t="shared" si="4"/>
        <v>35</v>
      </c>
      <c r="N21" s="21">
        <f t="shared" si="5"/>
        <v>10.754716981132075</v>
      </c>
      <c r="O21" s="109"/>
      <c r="P21" s="109"/>
      <c r="Q21" s="47"/>
      <c r="R21" s="58"/>
      <c r="S21" s="49"/>
    </row>
    <row r="22" spans="1:19" ht="12.75">
      <c r="A22" t="s">
        <v>87</v>
      </c>
      <c r="B22" s="42" t="s">
        <v>46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109"/>
      <c r="P22" s="109"/>
      <c r="Q22" s="47"/>
      <c r="R22" s="58"/>
      <c r="S22" s="49"/>
    </row>
    <row r="23" spans="1:19" ht="12.75">
      <c r="A23" t="s">
        <v>87</v>
      </c>
      <c r="B23" s="42" t="s">
        <v>47</v>
      </c>
      <c r="C23" s="54"/>
      <c r="D23" s="54">
        <v>57</v>
      </c>
      <c r="E23" s="54"/>
      <c r="F23" s="51">
        <f t="shared" si="0"/>
        <v>0.03958333333333333</v>
      </c>
      <c r="G23" s="52" t="s">
        <v>60</v>
      </c>
      <c r="H23" s="51">
        <v>9800</v>
      </c>
      <c r="I23" s="51">
        <f t="shared" si="1"/>
        <v>0.004039115646258503</v>
      </c>
      <c r="J23" s="53"/>
      <c r="K23" s="9">
        <f t="shared" si="2"/>
        <v>0</v>
      </c>
      <c r="L23" s="8">
        <f t="shared" si="3"/>
        <v>5</v>
      </c>
      <c r="M23" s="9">
        <f t="shared" si="4"/>
        <v>49</v>
      </c>
      <c r="N23" s="21">
        <f t="shared" si="5"/>
        <v>10.31578947368421</v>
      </c>
      <c r="O23" s="109"/>
      <c r="P23" s="109"/>
      <c r="Q23" s="47"/>
      <c r="R23" s="58"/>
      <c r="S23" s="49"/>
    </row>
    <row r="24" spans="1:19" ht="12.75">
      <c r="A24" t="s">
        <v>87</v>
      </c>
      <c r="B24" s="42" t="s">
        <v>48</v>
      </c>
      <c r="C24" s="54">
        <v>1</v>
      </c>
      <c r="D24" s="54">
        <v>9</v>
      </c>
      <c r="E24" s="54">
        <v>58</v>
      </c>
      <c r="F24" s="51">
        <f t="shared" si="0"/>
        <v>0.048587962962962965</v>
      </c>
      <c r="G24" s="52" t="s">
        <v>60</v>
      </c>
      <c r="H24" s="51">
        <v>15000</v>
      </c>
      <c r="I24" s="51">
        <f t="shared" si="1"/>
        <v>0.0032391975308641973</v>
      </c>
      <c r="J24" s="53"/>
      <c r="K24" s="9">
        <f t="shared" si="2"/>
        <v>0</v>
      </c>
      <c r="L24" s="8">
        <f t="shared" si="3"/>
        <v>4</v>
      </c>
      <c r="M24" s="9">
        <f t="shared" si="4"/>
        <v>40</v>
      </c>
      <c r="N24" s="21">
        <f t="shared" si="5"/>
        <v>12.863268222963315</v>
      </c>
      <c r="O24" s="109"/>
      <c r="P24" s="109"/>
      <c r="Q24" s="47" t="s">
        <v>135</v>
      </c>
      <c r="R24" s="58">
        <v>50</v>
      </c>
      <c r="S24" s="49" t="s">
        <v>156</v>
      </c>
    </row>
    <row r="25" spans="1:19" ht="12.75">
      <c r="A25" t="s">
        <v>87</v>
      </c>
      <c r="B25" s="42" t="s">
        <v>49</v>
      </c>
      <c r="C25" s="54"/>
      <c r="D25" s="54"/>
      <c r="E25" s="54"/>
      <c r="F25" s="51">
        <f t="shared" si="0"/>
      </c>
      <c r="G25" s="52"/>
      <c r="H25" s="51"/>
      <c r="I25" s="51">
        <f t="shared" si="1"/>
      </c>
      <c r="J25" s="53"/>
      <c r="K25" s="9">
        <f t="shared" si="2"/>
      </c>
      <c r="L25" s="8">
        <f t="shared" si="3"/>
      </c>
      <c r="M25" s="9">
        <f t="shared" si="4"/>
      </c>
      <c r="N25" s="21">
        <f t="shared" si="5"/>
      </c>
      <c r="O25" s="109"/>
      <c r="P25" s="109"/>
      <c r="Q25" s="47"/>
      <c r="R25" s="58"/>
      <c r="S25" s="49"/>
    </row>
    <row r="26" spans="1:19" ht="12.75">
      <c r="A26" t="s">
        <v>87</v>
      </c>
      <c r="B26" s="42" t="s">
        <v>50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109"/>
      <c r="P26" s="109"/>
      <c r="Q26" s="47"/>
      <c r="R26" s="58"/>
      <c r="S26" s="49" t="s">
        <v>25</v>
      </c>
    </row>
    <row r="27" spans="1:19" ht="12.75">
      <c r="A27" t="s">
        <v>87</v>
      </c>
      <c r="B27" s="42" t="s">
        <v>51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109"/>
      <c r="P27" s="109"/>
      <c r="Q27" s="47"/>
      <c r="R27" s="58"/>
      <c r="S27" s="49"/>
    </row>
    <row r="28" spans="1:19" ht="12.75">
      <c r="A28" t="s">
        <v>87</v>
      </c>
      <c r="B28" s="42" t="s">
        <v>52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109"/>
      <c r="P28" s="109"/>
      <c r="Q28" s="47"/>
      <c r="R28" s="58"/>
      <c r="S28" s="49"/>
    </row>
    <row r="29" spans="1:19" ht="12.75">
      <c r="A29" t="s">
        <v>87</v>
      </c>
      <c r="B29" s="42" t="s">
        <v>53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109"/>
      <c r="P29" s="109"/>
      <c r="Q29" s="47"/>
      <c r="R29" s="58"/>
      <c r="S29" s="49"/>
    </row>
    <row r="30" spans="1:19" ht="12.75">
      <c r="A30" t="s">
        <v>87</v>
      </c>
      <c r="B30" s="42" t="s">
        <v>54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109"/>
      <c r="P30" s="109"/>
      <c r="Q30" s="47"/>
      <c r="R30" s="58"/>
      <c r="S30" s="49"/>
    </row>
    <row r="31" spans="1:19" ht="12.75">
      <c r="A31" t="s">
        <v>87</v>
      </c>
      <c r="B31" s="42" t="s">
        <v>55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109"/>
      <c r="P31" s="109"/>
      <c r="Q31" s="47"/>
      <c r="R31" s="58"/>
      <c r="S31" s="49" t="s">
        <v>157</v>
      </c>
    </row>
    <row r="32" spans="1:19" ht="12.75">
      <c r="A32" t="s">
        <v>87</v>
      </c>
      <c r="B32" s="42" t="s">
        <v>56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109"/>
      <c r="P32" s="109"/>
      <c r="Q32" s="47"/>
      <c r="R32" s="58"/>
      <c r="S32" s="49"/>
    </row>
    <row r="33" spans="1:19" ht="12.75">
      <c r="A33" t="s">
        <v>87</v>
      </c>
      <c r="B33" s="42" t="s">
        <v>57</v>
      </c>
      <c r="C33" s="54"/>
      <c r="D33" s="54"/>
      <c r="E33" s="54"/>
      <c r="F33" s="51">
        <f t="shared" si="0"/>
      </c>
      <c r="G33" s="52"/>
      <c r="H33" s="51"/>
      <c r="I33" s="51">
        <f t="shared" si="1"/>
      </c>
      <c r="J33" s="53"/>
      <c r="K33" s="9">
        <f t="shared" si="2"/>
      </c>
      <c r="L33" s="8">
        <f t="shared" si="3"/>
      </c>
      <c r="M33" s="9">
        <f t="shared" si="4"/>
      </c>
      <c r="N33" s="21">
        <f t="shared" si="5"/>
      </c>
      <c r="O33" s="109"/>
      <c r="P33" s="109"/>
      <c r="Q33" s="47"/>
      <c r="R33" s="58"/>
      <c r="S33" s="49"/>
    </row>
    <row r="34" ht="13.5" thickBot="1"/>
    <row r="35" spans="2:19" ht="13.5" thickBot="1">
      <c r="B35" s="41" t="s">
        <v>24</v>
      </c>
      <c r="C35" s="16">
        <f>HOUR(F35)</f>
        <v>6</v>
      </c>
      <c r="D35" s="16">
        <f>MINUTE(F35)</f>
        <v>24</v>
      </c>
      <c r="E35" s="17">
        <f>SECOND(F35)</f>
        <v>28</v>
      </c>
      <c r="F35" s="2">
        <f>SUMIF($G$3:$G$33,"x",F3:F33)</f>
        <v>0.26699074074074075</v>
      </c>
      <c r="G35" s="29">
        <f>COUNTIF(G3:G33,"x")</f>
        <v>6</v>
      </c>
      <c r="H35" s="2">
        <f>SUMIF($G$3:$G$33,"x",H3:H33)</f>
        <v>70400</v>
      </c>
      <c r="I35" s="2">
        <f>AVERAGE(I3:I34)</f>
        <v>0.0038274649175392417</v>
      </c>
      <c r="K35" s="13">
        <f>IF(G35=0,"",HOUR(I35))</f>
        <v>0</v>
      </c>
      <c r="L35" s="14">
        <f>IF(G35=0,"",MINUTE(I35))</f>
        <v>5</v>
      </c>
      <c r="M35" s="14">
        <f>IF(G35=0,"",SECOND(I35))</f>
        <v>31</v>
      </c>
      <c r="N35" s="23">
        <f>IF(G35=0,"",($T$2*H35/F35)/1000)</f>
        <v>10.986648170625974</v>
      </c>
      <c r="O35" s="115"/>
      <c r="P35" s="115"/>
      <c r="Q35" s="23"/>
      <c r="R35" s="60">
        <f>SUM(R17:R33)</f>
        <v>50</v>
      </c>
      <c r="S35" s="15" t="s">
        <v>11</v>
      </c>
    </row>
  </sheetData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17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H36" sqref="H36"/>
    </sheetView>
  </sheetViews>
  <sheetFormatPr defaultColWidth="11.421875" defaultRowHeight="12.75"/>
  <cols>
    <col min="1" max="1" width="6.57421875" style="0" hidden="1" customWidth="1"/>
    <col min="2" max="2" width="5.00390625" style="40" bestFit="1" customWidth="1"/>
    <col min="3" max="3" width="2.28125" style="1" bestFit="1" customWidth="1"/>
    <col min="4" max="4" width="3.00390625" style="1" bestFit="1" customWidth="1"/>
    <col min="5" max="5" width="2.28125" style="1" bestFit="1" customWidth="1"/>
    <col min="6" max="6" width="9.5742187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00390625" style="22" bestFit="1" customWidth="1"/>
    <col min="16" max="17" width="5.00390625" style="22" customWidth="1"/>
    <col min="18" max="18" width="4.8515625" style="59" bestFit="1" customWidth="1"/>
    <col min="19" max="19" width="11.7109375" style="0" bestFit="1" customWidth="1"/>
    <col min="20" max="20" width="12.00390625" style="1" hidden="1" customWidth="1"/>
    <col min="21" max="16384" width="2.8515625" style="0" customWidth="1"/>
  </cols>
  <sheetData>
    <row r="1" spans="2:20" ht="13.5" thickBot="1">
      <c r="B1" s="39"/>
      <c r="C1" s="117" t="s">
        <v>0</v>
      </c>
      <c r="D1" s="118"/>
      <c r="E1" s="119"/>
      <c r="F1" s="3"/>
      <c r="G1" s="3"/>
      <c r="H1" s="18"/>
      <c r="I1" s="4"/>
      <c r="J1" s="45"/>
      <c r="K1" s="120" t="s">
        <v>9</v>
      </c>
      <c r="L1" s="121"/>
      <c r="M1" s="122"/>
      <c r="N1" s="19" t="s">
        <v>14</v>
      </c>
      <c r="O1" s="19"/>
      <c r="P1" s="19"/>
      <c r="Q1" s="19"/>
      <c r="R1" s="56"/>
      <c r="S1" s="6"/>
      <c r="T1" s="1" t="s">
        <v>13</v>
      </c>
    </row>
    <row r="2" spans="2:20" ht="26.25" thickBot="1">
      <c r="B2" s="24" t="s">
        <v>58</v>
      </c>
      <c r="C2" s="10" t="s">
        <v>7</v>
      </c>
      <c r="D2" s="10" t="s">
        <v>8</v>
      </c>
      <c r="E2" s="10" t="s">
        <v>6</v>
      </c>
      <c r="F2" s="5" t="s">
        <v>4</v>
      </c>
      <c r="G2" s="43" t="s">
        <v>59</v>
      </c>
      <c r="H2" s="44" t="s">
        <v>61</v>
      </c>
      <c r="I2" s="5" t="s">
        <v>5</v>
      </c>
      <c r="J2" s="46" t="s">
        <v>2</v>
      </c>
      <c r="K2" s="11" t="s">
        <v>7</v>
      </c>
      <c r="L2" s="12" t="s">
        <v>8</v>
      </c>
      <c r="M2" s="12" t="s">
        <v>6</v>
      </c>
      <c r="N2" s="20"/>
      <c r="O2" s="55" t="s">
        <v>62</v>
      </c>
      <c r="P2" s="55" t="s">
        <v>63</v>
      </c>
      <c r="Q2" s="55"/>
      <c r="R2" s="57" t="s">
        <v>74</v>
      </c>
      <c r="S2" s="7" t="s">
        <v>10</v>
      </c>
      <c r="T2" s="2">
        <f>TIME(1,0,0)</f>
        <v>0.041666666666666664</v>
      </c>
    </row>
    <row r="3" spans="1:19" ht="12.75">
      <c r="A3" t="s">
        <v>80</v>
      </c>
      <c r="B3" s="42" t="s">
        <v>27</v>
      </c>
      <c r="C3" s="50">
        <v>1</v>
      </c>
      <c r="D3" s="50">
        <v>17</v>
      </c>
      <c r="E3" s="50"/>
      <c r="F3" s="51">
        <f aca="true" t="shared" si="0" ref="F3:F32">IF(G3="x",TIME(C3,D3,E3),"")</f>
        <v>0.05347222222222222</v>
      </c>
      <c r="G3" s="52" t="s">
        <v>60</v>
      </c>
      <c r="H3" s="51">
        <v>13500</v>
      </c>
      <c r="I3" s="51">
        <f aca="true" t="shared" si="1" ref="I3:I32">IF(G3="x",F3*1000/H3,"")</f>
        <v>0.0039609053497942385</v>
      </c>
      <c r="J3" s="53"/>
      <c r="K3" s="9">
        <f aca="true" t="shared" si="2" ref="K3:K32">IF(G3="x",HOUR(I3),"")</f>
        <v>0</v>
      </c>
      <c r="L3" s="8">
        <f aca="true" t="shared" si="3" ref="L3:L32">IF(G3="x",MINUTE(I3),"")</f>
        <v>5</v>
      </c>
      <c r="M3" s="9">
        <f aca="true" t="shared" si="4" ref="M3:M32">IF(G3="x",SECOND(I3),"")</f>
        <v>42</v>
      </c>
      <c r="N3" s="21">
        <f aca="true" t="shared" si="5" ref="N3:N32">IF(G3="x",($T$2*H3/F3)/1000,"")</f>
        <v>10.519480519480519</v>
      </c>
      <c r="O3" s="47"/>
      <c r="P3" s="47"/>
      <c r="Q3" s="47"/>
      <c r="R3" s="58"/>
      <c r="S3" s="48"/>
    </row>
    <row r="4" spans="1:19" ht="12.75">
      <c r="A4" t="s">
        <v>80</v>
      </c>
      <c r="B4" s="42" t="s">
        <v>28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47"/>
      <c r="P4" s="47"/>
      <c r="Q4" s="47"/>
      <c r="R4" s="58"/>
      <c r="S4" s="49"/>
    </row>
    <row r="5" spans="1:19" ht="12.75">
      <c r="A5" t="s">
        <v>80</v>
      </c>
      <c r="B5" s="42" t="s">
        <v>29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47"/>
      <c r="P5" s="47"/>
      <c r="Q5" s="47"/>
      <c r="R5" s="58"/>
      <c r="S5" s="49"/>
    </row>
    <row r="6" spans="1:19" ht="12.75">
      <c r="A6" t="s">
        <v>80</v>
      </c>
      <c r="B6" s="42" t="s">
        <v>30</v>
      </c>
      <c r="C6" s="54">
        <v>1</v>
      </c>
      <c r="D6" s="54">
        <v>5</v>
      </c>
      <c r="E6" s="54"/>
      <c r="F6" s="51">
        <f t="shared" si="0"/>
        <v>0.04513888888888889</v>
      </c>
      <c r="G6" s="52" t="s">
        <v>60</v>
      </c>
      <c r="H6" s="51">
        <v>11000</v>
      </c>
      <c r="I6" s="51">
        <f t="shared" si="1"/>
        <v>0.004103535353535353</v>
      </c>
      <c r="J6" s="53"/>
      <c r="K6" s="9">
        <f t="shared" si="2"/>
        <v>0</v>
      </c>
      <c r="L6" s="8">
        <f t="shared" si="3"/>
        <v>5</v>
      </c>
      <c r="M6" s="9">
        <f t="shared" si="4"/>
        <v>55</v>
      </c>
      <c r="N6" s="21">
        <f t="shared" si="5"/>
        <v>10.153846153846155</v>
      </c>
      <c r="O6" s="47"/>
      <c r="P6" s="47"/>
      <c r="Q6" s="47"/>
      <c r="R6" s="58"/>
      <c r="S6" s="49"/>
    </row>
    <row r="7" spans="1:19" ht="12.75">
      <c r="A7" t="s">
        <v>80</v>
      </c>
      <c r="B7" s="42" t="s">
        <v>31</v>
      </c>
      <c r="C7" s="54">
        <v>1</v>
      </c>
      <c r="D7" s="54">
        <v>25</v>
      </c>
      <c r="E7" s="54"/>
      <c r="F7" s="51">
        <f t="shared" si="0"/>
        <v>0.05902777777777778</v>
      </c>
      <c r="G7" s="52" t="s">
        <v>60</v>
      </c>
      <c r="H7" s="51">
        <v>16500</v>
      </c>
      <c r="I7" s="51">
        <f t="shared" si="1"/>
        <v>0.003577441077441078</v>
      </c>
      <c r="J7" s="53"/>
      <c r="K7" s="9">
        <f t="shared" si="2"/>
        <v>0</v>
      </c>
      <c r="L7" s="8">
        <f t="shared" si="3"/>
        <v>5</v>
      </c>
      <c r="M7" s="9">
        <f t="shared" si="4"/>
        <v>9</v>
      </c>
      <c r="N7" s="21">
        <f t="shared" si="5"/>
        <v>11.647058823529411</v>
      </c>
      <c r="O7" s="47"/>
      <c r="P7" s="47"/>
      <c r="Q7" s="47"/>
      <c r="R7" s="58"/>
      <c r="S7" s="49"/>
    </row>
    <row r="8" spans="1:19" ht="12.75">
      <c r="A8" t="s">
        <v>80</v>
      </c>
      <c r="B8" s="42" t="s">
        <v>32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47"/>
      <c r="R8" s="58"/>
      <c r="S8" s="49"/>
    </row>
    <row r="9" spans="1:19" ht="12.75">
      <c r="A9" t="s">
        <v>80</v>
      </c>
      <c r="B9" s="42" t="s">
        <v>33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47"/>
      <c r="P9" s="47"/>
      <c r="Q9" s="47"/>
      <c r="R9" s="58"/>
      <c r="S9" s="49"/>
    </row>
    <row r="10" spans="1:19" ht="12.75">
      <c r="A10" t="s">
        <v>80</v>
      </c>
      <c r="B10" s="42" t="s">
        <v>34</v>
      </c>
      <c r="C10" s="54"/>
      <c r="D10" s="54">
        <v>38</v>
      </c>
      <c r="E10" s="54"/>
      <c r="F10" s="51">
        <f t="shared" si="0"/>
        <v>0.02638888888888889</v>
      </c>
      <c r="G10" s="52" t="s">
        <v>60</v>
      </c>
      <c r="H10" s="51">
        <v>7100</v>
      </c>
      <c r="I10" s="51">
        <f t="shared" si="1"/>
        <v>0.0037167449139280124</v>
      </c>
      <c r="J10" s="53"/>
      <c r="K10" s="9">
        <f t="shared" si="2"/>
        <v>0</v>
      </c>
      <c r="L10" s="8">
        <f t="shared" si="3"/>
        <v>5</v>
      </c>
      <c r="M10" s="9">
        <f t="shared" si="4"/>
        <v>21</v>
      </c>
      <c r="N10" s="21">
        <f t="shared" si="5"/>
        <v>11.210526315789473</v>
      </c>
      <c r="O10" s="47"/>
      <c r="P10" s="47"/>
      <c r="Q10" s="47"/>
      <c r="R10" s="58"/>
      <c r="S10" s="49"/>
    </row>
    <row r="11" spans="1:19" ht="12.75">
      <c r="A11" t="s">
        <v>80</v>
      </c>
      <c r="B11" s="42" t="s">
        <v>35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47"/>
      <c r="P11" s="47"/>
      <c r="Q11" s="47"/>
      <c r="R11" s="58"/>
      <c r="S11" s="49"/>
    </row>
    <row r="12" spans="1:19" ht="12.75">
      <c r="A12" t="s">
        <v>80</v>
      </c>
      <c r="B12" s="42" t="s">
        <v>36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47"/>
      <c r="P12" s="47"/>
      <c r="Q12" s="47"/>
      <c r="R12" s="58"/>
      <c r="S12" s="49"/>
    </row>
    <row r="13" spans="1:19" ht="12.75">
      <c r="A13" t="s">
        <v>80</v>
      </c>
      <c r="B13" s="42" t="s">
        <v>37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47"/>
      <c r="P13" s="47"/>
      <c r="Q13" s="47"/>
      <c r="R13" s="58"/>
      <c r="S13" s="49"/>
    </row>
    <row r="14" spans="1:19" ht="12.75">
      <c r="A14" t="s">
        <v>80</v>
      </c>
      <c r="B14" s="42" t="s">
        <v>38</v>
      </c>
      <c r="C14" s="54">
        <v>1</v>
      </c>
      <c r="D14" s="54">
        <v>10</v>
      </c>
      <c r="E14" s="54"/>
      <c r="F14" s="51">
        <f t="shared" si="0"/>
        <v>0.04861111111111111</v>
      </c>
      <c r="G14" s="52" t="s">
        <v>60</v>
      </c>
      <c r="H14" s="51">
        <v>14500</v>
      </c>
      <c r="I14" s="51">
        <f t="shared" si="1"/>
        <v>0.003352490421455939</v>
      </c>
      <c r="J14" s="53"/>
      <c r="K14" s="9">
        <f t="shared" si="2"/>
        <v>0</v>
      </c>
      <c r="L14" s="8">
        <f t="shared" si="3"/>
        <v>4</v>
      </c>
      <c r="M14" s="9">
        <f t="shared" si="4"/>
        <v>50</v>
      </c>
      <c r="N14" s="21">
        <f t="shared" si="5"/>
        <v>12.428571428571427</v>
      </c>
      <c r="O14" s="47"/>
      <c r="P14" s="47"/>
      <c r="Q14" s="47"/>
      <c r="R14" s="58">
        <v>40</v>
      </c>
      <c r="S14" s="49" t="s">
        <v>158</v>
      </c>
    </row>
    <row r="15" spans="1:19" ht="12.75">
      <c r="A15" t="s">
        <v>80</v>
      </c>
      <c r="B15" s="42" t="s">
        <v>39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47"/>
      <c r="P15" s="47"/>
      <c r="Q15" s="47"/>
      <c r="R15" s="58"/>
      <c r="S15" s="49"/>
    </row>
    <row r="16" spans="1:19" ht="12.75">
      <c r="A16" t="s">
        <v>80</v>
      </c>
      <c r="B16" s="42" t="s">
        <v>40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47"/>
      <c r="P16" s="47"/>
      <c r="Q16" s="47"/>
      <c r="R16" s="58"/>
      <c r="S16" s="49" t="s">
        <v>151</v>
      </c>
    </row>
    <row r="17" spans="1:19" ht="12.75">
      <c r="A17" t="s">
        <v>80</v>
      </c>
      <c r="B17" s="42" t="s">
        <v>41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47"/>
      <c r="P17" s="47"/>
      <c r="Q17" s="47"/>
      <c r="R17" s="58"/>
      <c r="S17" s="49"/>
    </row>
    <row r="18" spans="1:19" ht="12.75">
      <c r="A18" t="s">
        <v>80</v>
      </c>
      <c r="B18" s="42" t="s">
        <v>42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47"/>
      <c r="P18" s="47"/>
      <c r="Q18" s="47"/>
      <c r="R18" s="58"/>
      <c r="S18" s="49"/>
    </row>
    <row r="19" spans="1:19" ht="12.75">
      <c r="A19" t="s">
        <v>80</v>
      </c>
      <c r="B19" s="42" t="s">
        <v>43</v>
      </c>
      <c r="C19" s="54">
        <v>1</v>
      </c>
      <c r="D19" s="54">
        <v>3</v>
      </c>
      <c r="E19" s="54"/>
      <c r="F19" s="51">
        <f t="shared" si="0"/>
        <v>0.043750000000000004</v>
      </c>
      <c r="G19" s="52" t="s">
        <v>60</v>
      </c>
      <c r="H19" s="51">
        <v>11000</v>
      </c>
      <c r="I19" s="51">
        <f t="shared" si="1"/>
        <v>0.003977272727272728</v>
      </c>
      <c r="J19" s="53"/>
      <c r="K19" s="9">
        <f t="shared" si="2"/>
        <v>0</v>
      </c>
      <c r="L19" s="8">
        <f t="shared" si="3"/>
        <v>5</v>
      </c>
      <c r="M19" s="9">
        <f t="shared" si="4"/>
        <v>44</v>
      </c>
      <c r="N19" s="21">
        <f t="shared" si="5"/>
        <v>10.476190476190474</v>
      </c>
      <c r="O19" s="47"/>
      <c r="P19" s="47"/>
      <c r="Q19" s="47"/>
      <c r="R19" s="58"/>
      <c r="S19" s="49"/>
    </row>
    <row r="20" spans="1:19" ht="12.75">
      <c r="A20" t="s">
        <v>80</v>
      </c>
      <c r="B20" s="42" t="s">
        <v>44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47"/>
      <c r="P20" s="47"/>
      <c r="Q20" s="47"/>
      <c r="R20" s="58"/>
      <c r="S20" s="49"/>
    </row>
    <row r="21" spans="1:19" ht="12.75">
      <c r="A21" t="s">
        <v>80</v>
      </c>
      <c r="B21" s="42" t="s">
        <v>45</v>
      </c>
      <c r="C21" s="54"/>
      <c r="D21" s="54"/>
      <c r="E21" s="54"/>
      <c r="F21" s="51">
        <f t="shared" si="0"/>
      </c>
      <c r="G21" s="52"/>
      <c r="H21" s="51"/>
      <c r="I21" s="51">
        <f t="shared" si="1"/>
      </c>
      <c r="J21" s="53"/>
      <c r="K21" s="9">
        <f t="shared" si="2"/>
      </c>
      <c r="L21" s="8">
        <f t="shared" si="3"/>
      </c>
      <c r="M21" s="9">
        <f t="shared" si="4"/>
      </c>
      <c r="N21" s="21">
        <f t="shared" si="5"/>
      </c>
      <c r="O21" s="47"/>
      <c r="P21" s="47"/>
      <c r="Q21" s="47"/>
      <c r="R21" s="58"/>
      <c r="S21" s="49"/>
    </row>
    <row r="22" spans="1:19" ht="12.75">
      <c r="A22" t="s">
        <v>80</v>
      </c>
      <c r="B22" s="42" t="s">
        <v>46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47"/>
      <c r="P22" s="47"/>
      <c r="Q22" s="47"/>
      <c r="R22" s="58"/>
      <c r="S22" s="49"/>
    </row>
    <row r="23" spans="1:19" ht="12.75">
      <c r="A23" t="s">
        <v>80</v>
      </c>
      <c r="B23" s="42" t="s">
        <v>47</v>
      </c>
      <c r="C23" s="54"/>
      <c r="D23" s="54">
        <v>43</v>
      </c>
      <c r="E23" s="54"/>
      <c r="F23" s="51">
        <f t="shared" si="0"/>
        <v>0.029861111111111113</v>
      </c>
      <c r="G23" s="52" t="s">
        <v>60</v>
      </c>
      <c r="H23" s="51">
        <v>7500</v>
      </c>
      <c r="I23" s="51">
        <f t="shared" si="1"/>
        <v>0.003981481481481482</v>
      </c>
      <c r="J23" s="53"/>
      <c r="K23" s="9">
        <f t="shared" si="2"/>
        <v>0</v>
      </c>
      <c r="L23" s="8">
        <f t="shared" si="3"/>
        <v>5</v>
      </c>
      <c r="M23" s="9">
        <f t="shared" si="4"/>
        <v>44</v>
      </c>
      <c r="N23" s="21">
        <f t="shared" si="5"/>
        <v>10.465116279069766</v>
      </c>
      <c r="O23" s="47"/>
      <c r="P23" s="47"/>
      <c r="Q23" s="47"/>
      <c r="R23" s="58"/>
      <c r="S23" s="49"/>
    </row>
    <row r="24" spans="1:19" ht="12.75">
      <c r="A24" t="s">
        <v>80</v>
      </c>
      <c r="B24" s="42" t="s">
        <v>48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47"/>
      <c r="R24" s="58"/>
      <c r="S24" s="49"/>
    </row>
    <row r="25" spans="1:19" ht="12.75">
      <c r="A25" t="s">
        <v>80</v>
      </c>
      <c r="B25" s="42" t="s">
        <v>49</v>
      </c>
      <c r="C25" s="54"/>
      <c r="D25" s="54"/>
      <c r="E25" s="54"/>
      <c r="F25" s="51">
        <f t="shared" si="0"/>
      </c>
      <c r="G25" s="52"/>
      <c r="H25" s="51"/>
      <c r="I25" s="51">
        <f t="shared" si="1"/>
      </c>
      <c r="J25" s="53"/>
      <c r="K25" s="9">
        <f t="shared" si="2"/>
      </c>
      <c r="L25" s="8">
        <f t="shared" si="3"/>
      </c>
      <c r="M25" s="9">
        <f t="shared" si="4"/>
      </c>
      <c r="N25" s="21">
        <f t="shared" si="5"/>
      </c>
      <c r="O25" s="47"/>
      <c r="P25" s="47"/>
      <c r="Q25" s="47"/>
      <c r="R25" s="58"/>
      <c r="S25" s="49"/>
    </row>
    <row r="26" spans="1:19" ht="12.75">
      <c r="A26" t="s">
        <v>80</v>
      </c>
      <c r="B26" s="42" t="s">
        <v>50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47"/>
      <c r="P26" s="47"/>
      <c r="Q26" s="47"/>
      <c r="R26" s="58"/>
      <c r="S26" s="49" t="s">
        <v>154</v>
      </c>
    </row>
    <row r="27" spans="1:19" ht="12.75">
      <c r="A27" t="s">
        <v>80</v>
      </c>
      <c r="B27" s="42" t="s">
        <v>51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47"/>
      <c r="P27" s="47"/>
      <c r="Q27" s="47"/>
      <c r="R27" s="58"/>
      <c r="S27" s="49"/>
    </row>
    <row r="28" spans="1:19" ht="12.75">
      <c r="A28" t="s">
        <v>80</v>
      </c>
      <c r="B28" s="42" t="s">
        <v>52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47"/>
      <c r="P28" s="47"/>
      <c r="Q28" s="47"/>
      <c r="R28" s="58"/>
      <c r="S28" s="49"/>
    </row>
    <row r="29" spans="1:19" ht="12.75">
      <c r="A29" t="s">
        <v>80</v>
      </c>
      <c r="B29" s="42" t="s">
        <v>53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47"/>
      <c r="P29" s="47"/>
      <c r="Q29" s="47"/>
      <c r="R29" s="58"/>
      <c r="S29" s="49"/>
    </row>
    <row r="30" spans="1:19" ht="12.75">
      <c r="A30" t="s">
        <v>80</v>
      </c>
      <c r="B30" s="42" t="s">
        <v>54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47"/>
      <c r="P30" s="47"/>
      <c r="Q30" s="47"/>
      <c r="R30" s="58"/>
      <c r="S30" s="49" t="s">
        <v>151</v>
      </c>
    </row>
    <row r="31" spans="1:19" ht="12.75">
      <c r="A31" t="s">
        <v>80</v>
      </c>
      <c r="B31" s="42" t="s">
        <v>55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47"/>
      <c r="P31" s="47"/>
      <c r="Q31" s="47"/>
      <c r="R31" s="58"/>
      <c r="S31" s="49"/>
    </row>
    <row r="32" spans="1:19" ht="12.75">
      <c r="A32" t="s">
        <v>80</v>
      </c>
      <c r="B32" s="42" t="s">
        <v>56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47"/>
      <c r="P32" s="47"/>
      <c r="Q32" s="47"/>
      <c r="R32" s="58"/>
      <c r="S32" s="49"/>
    </row>
    <row r="34" ht="13.5" thickBot="1"/>
    <row r="35" spans="2:19" ht="13.5" thickBot="1">
      <c r="B35" s="41" t="s">
        <v>24</v>
      </c>
      <c r="C35" s="16">
        <f>HOUR(F35)</f>
        <v>7</v>
      </c>
      <c r="D35" s="16">
        <f>MINUTE(F35)</f>
        <v>21</v>
      </c>
      <c r="E35" s="17">
        <f>SECOND(F35)</f>
        <v>0</v>
      </c>
      <c r="F35" s="2">
        <f>SUMIF($G$3:$G$32,"x",F3:F32)</f>
        <v>0.30624999999999997</v>
      </c>
      <c r="G35" s="29">
        <f>COUNTIF(G3:G32,"x")</f>
        <v>7</v>
      </c>
      <c r="H35" s="2">
        <f>SUMIF($G$3:$G$32,"x",H3:H32)</f>
        <v>81100</v>
      </c>
      <c r="I35" s="2">
        <f>AVERAGE(I3:I33)</f>
        <v>0.003809981617844119</v>
      </c>
      <c r="K35" s="13">
        <f>IF(G35=0,"",HOUR(I35))</f>
        <v>0</v>
      </c>
      <c r="L35" s="14">
        <f>IF(G35=0,"",MINUTE(I35))</f>
        <v>5</v>
      </c>
      <c r="M35" s="14">
        <f>IF(G35=0,"",SECOND(I35))</f>
        <v>29</v>
      </c>
      <c r="N35" s="23">
        <f>IF(G35=0,"",($T$2*H35/F35)/1000)</f>
        <v>11.034013605442178</v>
      </c>
      <c r="O35" s="23"/>
      <c r="P35" s="23"/>
      <c r="Q35" s="23"/>
      <c r="R35" s="60">
        <f>SUM(R3:R32)</f>
        <v>40</v>
      </c>
      <c r="S35" s="15" t="s">
        <v>11</v>
      </c>
    </row>
  </sheetData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18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H34" sqref="H34"/>
    </sheetView>
  </sheetViews>
  <sheetFormatPr defaultColWidth="11.421875" defaultRowHeight="12.75"/>
  <cols>
    <col min="1" max="1" width="0" style="0" hidden="1" customWidth="1"/>
    <col min="2" max="2" width="5.00390625" style="40" bestFit="1" customWidth="1"/>
    <col min="3" max="3" width="2.28125" style="1" bestFit="1" customWidth="1"/>
    <col min="4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3" width="7.00390625" style="0" bestFit="1" customWidth="1"/>
    <col min="14" max="14" width="7.00390625" style="22" bestFit="1" customWidth="1"/>
    <col min="15" max="15" width="5.00390625" style="22" bestFit="1" customWidth="1"/>
    <col min="16" max="17" width="5.00390625" style="22" customWidth="1"/>
    <col min="18" max="18" width="5.7109375" style="59" customWidth="1"/>
    <col min="19" max="19" width="17.140625" style="0" bestFit="1" customWidth="1"/>
    <col min="20" max="20" width="12.00390625" style="1" hidden="1" customWidth="1"/>
    <col min="21" max="16384" width="2.8515625" style="0" customWidth="1"/>
  </cols>
  <sheetData>
    <row r="1" spans="2:20" ht="13.5" thickBot="1">
      <c r="B1" s="39"/>
      <c r="C1" s="117" t="s">
        <v>0</v>
      </c>
      <c r="D1" s="118"/>
      <c r="E1" s="119"/>
      <c r="F1" s="3"/>
      <c r="G1" s="3"/>
      <c r="H1" s="18"/>
      <c r="I1" s="4"/>
      <c r="J1" s="45"/>
      <c r="K1" s="120" t="s">
        <v>9</v>
      </c>
      <c r="L1" s="121"/>
      <c r="M1" s="122"/>
      <c r="N1" s="19" t="s">
        <v>14</v>
      </c>
      <c r="O1" s="19"/>
      <c r="P1" s="19"/>
      <c r="Q1" s="19"/>
      <c r="R1" s="56"/>
      <c r="S1" s="6"/>
      <c r="T1" s="1" t="s">
        <v>13</v>
      </c>
    </row>
    <row r="2" spans="2:20" ht="26.25" thickBot="1">
      <c r="B2" s="24" t="s">
        <v>58</v>
      </c>
      <c r="C2" s="10" t="s">
        <v>7</v>
      </c>
      <c r="D2" s="10" t="s">
        <v>8</v>
      </c>
      <c r="E2" s="10" t="s">
        <v>6</v>
      </c>
      <c r="F2" s="5" t="s">
        <v>4</v>
      </c>
      <c r="G2" s="43" t="s">
        <v>59</v>
      </c>
      <c r="H2" s="44" t="s">
        <v>61</v>
      </c>
      <c r="I2" s="5" t="s">
        <v>5</v>
      </c>
      <c r="J2" s="46" t="s">
        <v>2</v>
      </c>
      <c r="K2" s="11" t="s">
        <v>7</v>
      </c>
      <c r="L2" s="12" t="s">
        <v>8</v>
      </c>
      <c r="M2" s="12" t="s">
        <v>6</v>
      </c>
      <c r="N2" s="20"/>
      <c r="O2" s="55" t="s">
        <v>62</v>
      </c>
      <c r="P2" s="55" t="s">
        <v>63</v>
      </c>
      <c r="Q2" s="55"/>
      <c r="R2" s="57" t="s">
        <v>74</v>
      </c>
      <c r="S2" s="7" t="s">
        <v>10</v>
      </c>
      <c r="T2" s="2">
        <f>TIME(1,0,0)</f>
        <v>0.041666666666666664</v>
      </c>
    </row>
    <row r="3" spans="1:19" ht="12.75">
      <c r="A3" t="s">
        <v>88</v>
      </c>
      <c r="B3" s="42" t="s">
        <v>27</v>
      </c>
      <c r="C3" s="50"/>
      <c r="D3" s="50"/>
      <c r="E3" s="50"/>
      <c r="F3" s="51">
        <f aca="true" t="shared" si="0" ref="F3:F33">IF(G3="x",TIME(C3,D3,E3),"")</f>
      </c>
      <c r="G3" s="52"/>
      <c r="H3" s="51"/>
      <c r="I3" s="51">
        <f aca="true" t="shared" si="1" ref="I3:I33">IF(G3="x",F3*1000/H3,"")</f>
      </c>
      <c r="J3" s="53"/>
      <c r="K3" s="9">
        <f aca="true" t="shared" si="2" ref="K3:K33">IF(G3="x",HOUR(I3),"")</f>
      </c>
      <c r="L3" s="8">
        <f aca="true" t="shared" si="3" ref="L3:L33">IF(G3="x",MINUTE(I3),"")</f>
      </c>
      <c r="M3" s="9">
        <f aca="true" t="shared" si="4" ref="M3:M33">IF(G3="x",SECOND(I3),"")</f>
      </c>
      <c r="N3" s="21">
        <f aca="true" t="shared" si="5" ref="N3:N33">IF(G3="x",($T$2*H3/F3)/1000,"")</f>
      </c>
      <c r="O3" s="47"/>
      <c r="P3" s="47"/>
      <c r="Q3" s="47"/>
      <c r="R3" s="58"/>
      <c r="S3" s="48"/>
    </row>
    <row r="4" spans="1:19" ht="12.75">
      <c r="A4" t="s">
        <v>88</v>
      </c>
      <c r="B4" s="42" t="s">
        <v>28</v>
      </c>
      <c r="C4" s="54">
        <v>1</v>
      </c>
      <c r="D4" s="54">
        <v>11</v>
      </c>
      <c r="E4" s="54"/>
      <c r="F4" s="51">
        <f t="shared" si="0"/>
        <v>0.049305555555555554</v>
      </c>
      <c r="G4" s="52" t="s">
        <v>60</v>
      </c>
      <c r="H4" s="51">
        <v>13000</v>
      </c>
      <c r="I4" s="51">
        <f t="shared" si="1"/>
        <v>0.0037927350427350427</v>
      </c>
      <c r="J4" s="53"/>
      <c r="K4" s="9">
        <f t="shared" si="2"/>
        <v>0</v>
      </c>
      <c r="L4" s="8">
        <f t="shared" si="3"/>
        <v>5</v>
      </c>
      <c r="M4" s="9">
        <f t="shared" si="4"/>
        <v>28</v>
      </c>
      <c r="N4" s="21">
        <f t="shared" si="5"/>
        <v>10.985915492957746</v>
      </c>
      <c r="O4" s="47"/>
      <c r="P4" s="47"/>
      <c r="Q4" s="47"/>
      <c r="R4" s="58"/>
      <c r="S4" s="49"/>
    </row>
    <row r="5" spans="1:19" ht="12.75">
      <c r="A5" t="s">
        <v>88</v>
      </c>
      <c r="B5" s="42" t="s">
        <v>29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47"/>
      <c r="P5" s="47"/>
      <c r="Q5" s="47"/>
      <c r="R5" s="58"/>
      <c r="S5" s="49" t="s">
        <v>154</v>
      </c>
    </row>
    <row r="6" spans="1:19" ht="12.75">
      <c r="A6" t="s">
        <v>88</v>
      </c>
      <c r="B6" s="42" t="s">
        <v>30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47"/>
      <c r="P6" s="47"/>
      <c r="Q6" s="47"/>
      <c r="R6" s="58"/>
      <c r="S6" s="49"/>
    </row>
    <row r="7" spans="1:19" ht="12.75">
      <c r="A7" t="s">
        <v>88</v>
      </c>
      <c r="B7" s="42" t="s">
        <v>31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 t="shared" si="5"/>
      </c>
      <c r="O7" s="47"/>
      <c r="P7" s="47"/>
      <c r="Q7" s="47"/>
      <c r="R7" s="58"/>
      <c r="S7" s="49"/>
    </row>
    <row r="8" spans="1:19" ht="12.75">
      <c r="A8" t="s">
        <v>88</v>
      </c>
      <c r="B8" s="42" t="s">
        <v>32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47"/>
      <c r="P8" s="47"/>
      <c r="Q8" s="47"/>
      <c r="R8" s="58"/>
      <c r="S8" s="49"/>
    </row>
    <row r="9" spans="1:19" ht="12.75">
      <c r="A9" t="s">
        <v>88</v>
      </c>
      <c r="B9" s="42" t="s">
        <v>33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47"/>
      <c r="P9" s="47"/>
      <c r="Q9" s="47"/>
      <c r="R9" s="58"/>
      <c r="S9" s="49"/>
    </row>
    <row r="10" spans="1:19" ht="12.75">
      <c r="A10" t="s">
        <v>88</v>
      </c>
      <c r="B10" s="42" t="s">
        <v>34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47"/>
      <c r="P10" s="47"/>
      <c r="Q10" s="47"/>
      <c r="R10" s="58"/>
      <c r="S10" s="49"/>
    </row>
    <row r="11" spans="1:19" ht="12.75">
      <c r="A11" t="s">
        <v>88</v>
      </c>
      <c r="B11" s="42" t="s">
        <v>35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47"/>
      <c r="P11" s="47"/>
      <c r="Q11" s="47"/>
      <c r="R11" s="58"/>
      <c r="S11" s="49"/>
    </row>
    <row r="12" spans="1:19" ht="12.75">
      <c r="A12" t="s">
        <v>88</v>
      </c>
      <c r="B12" s="42" t="s">
        <v>36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47"/>
      <c r="P12" s="47"/>
      <c r="Q12" s="47"/>
      <c r="R12" s="58"/>
      <c r="S12" s="49" t="s">
        <v>26</v>
      </c>
    </row>
    <row r="13" spans="1:19" ht="12.75">
      <c r="A13" t="s">
        <v>88</v>
      </c>
      <c r="B13" s="42" t="s">
        <v>37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47"/>
      <c r="P13" s="47"/>
      <c r="Q13" s="47"/>
      <c r="R13" s="58"/>
      <c r="S13" s="49"/>
    </row>
    <row r="14" spans="1:19" ht="12.75">
      <c r="A14" t="s">
        <v>88</v>
      </c>
      <c r="B14" s="42" t="s">
        <v>38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47"/>
      <c r="P14" s="47"/>
      <c r="Q14" s="47"/>
      <c r="R14" s="58"/>
      <c r="S14" s="49"/>
    </row>
    <row r="15" spans="1:19" ht="12.75">
      <c r="A15" t="s">
        <v>88</v>
      </c>
      <c r="B15" s="42" t="s">
        <v>39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47"/>
      <c r="P15" s="47"/>
      <c r="Q15" s="47"/>
      <c r="R15" s="58"/>
      <c r="S15" s="49"/>
    </row>
    <row r="16" spans="1:19" ht="12.75">
      <c r="A16" t="s">
        <v>88</v>
      </c>
      <c r="B16" s="42" t="s">
        <v>40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47"/>
      <c r="P16" s="47"/>
      <c r="Q16" s="47"/>
      <c r="R16" s="58"/>
      <c r="S16" s="49"/>
    </row>
    <row r="17" spans="1:19" ht="12.75">
      <c r="A17" t="s">
        <v>88</v>
      </c>
      <c r="B17" s="42" t="s">
        <v>41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47"/>
      <c r="P17" s="47"/>
      <c r="Q17" s="47"/>
      <c r="R17" s="58"/>
      <c r="S17" s="49"/>
    </row>
    <row r="18" spans="1:19" ht="12.75">
      <c r="A18" t="s">
        <v>88</v>
      </c>
      <c r="B18" s="42" t="s">
        <v>42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47"/>
      <c r="P18" s="47"/>
      <c r="Q18" s="47"/>
      <c r="R18" s="58"/>
      <c r="S18" s="49"/>
    </row>
    <row r="19" spans="1:19" ht="12.75">
      <c r="A19" t="s">
        <v>88</v>
      </c>
      <c r="B19" s="42" t="s">
        <v>43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47"/>
      <c r="P19" s="47"/>
      <c r="Q19" s="47"/>
      <c r="R19" s="58"/>
      <c r="S19" s="49" t="s">
        <v>154</v>
      </c>
    </row>
    <row r="20" spans="1:19" ht="12.75">
      <c r="A20" t="s">
        <v>88</v>
      </c>
      <c r="B20" s="42" t="s">
        <v>44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47"/>
      <c r="P20" s="47"/>
      <c r="Q20" s="47"/>
      <c r="R20" s="58"/>
      <c r="S20" s="49"/>
    </row>
    <row r="21" spans="1:19" ht="12.75">
      <c r="A21" t="s">
        <v>88</v>
      </c>
      <c r="B21" s="42" t="s">
        <v>45</v>
      </c>
      <c r="C21" s="54"/>
      <c r="D21" s="54"/>
      <c r="E21" s="54"/>
      <c r="F21" s="51">
        <f t="shared" si="0"/>
      </c>
      <c r="G21" s="52"/>
      <c r="H21" s="51"/>
      <c r="I21" s="51">
        <f t="shared" si="1"/>
      </c>
      <c r="J21" s="53"/>
      <c r="K21" s="9">
        <f t="shared" si="2"/>
      </c>
      <c r="L21" s="8">
        <f t="shared" si="3"/>
      </c>
      <c r="M21" s="9">
        <f t="shared" si="4"/>
      </c>
      <c r="N21" s="21">
        <f t="shared" si="5"/>
      </c>
      <c r="O21" s="47"/>
      <c r="P21" s="47"/>
      <c r="Q21" s="47"/>
      <c r="R21" s="58"/>
      <c r="S21" s="49"/>
    </row>
    <row r="22" spans="1:19" ht="12.75">
      <c r="A22" t="s">
        <v>88</v>
      </c>
      <c r="B22" s="42" t="s">
        <v>46</v>
      </c>
      <c r="C22" s="54">
        <v>1</v>
      </c>
      <c r="D22" s="54">
        <v>29</v>
      </c>
      <c r="E22" s="54"/>
      <c r="F22" s="51">
        <f t="shared" si="0"/>
        <v>0.06180555555555556</v>
      </c>
      <c r="G22" s="52" t="s">
        <v>60</v>
      </c>
      <c r="H22" s="51">
        <v>15000</v>
      </c>
      <c r="I22" s="51">
        <f t="shared" si="1"/>
        <v>0.004120370370370371</v>
      </c>
      <c r="J22" s="53"/>
      <c r="K22" s="9">
        <f t="shared" si="2"/>
        <v>0</v>
      </c>
      <c r="L22" s="8">
        <f t="shared" si="3"/>
        <v>5</v>
      </c>
      <c r="M22" s="9">
        <f t="shared" si="4"/>
        <v>56</v>
      </c>
      <c r="N22" s="21">
        <f t="shared" si="5"/>
        <v>10.112359550561798</v>
      </c>
      <c r="O22" s="47"/>
      <c r="P22" s="47"/>
      <c r="Q22" s="47"/>
      <c r="R22" s="58"/>
      <c r="S22" s="49"/>
    </row>
    <row r="23" spans="1:19" ht="12.75">
      <c r="A23" t="s">
        <v>88</v>
      </c>
      <c r="B23" s="42" t="s">
        <v>47</v>
      </c>
      <c r="C23" s="54"/>
      <c r="D23" s="54"/>
      <c r="E23" s="54"/>
      <c r="F23" s="51">
        <f t="shared" si="0"/>
      </c>
      <c r="G23" s="52"/>
      <c r="H23" s="51"/>
      <c r="I23" s="51">
        <f t="shared" si="1"/>
      </c>
      <c r="J23" s="53"/>
      <c r="K23" s="9">
        <f t="shared" si="2"/>
      </c>
      <c r="L23" s="8">
        <f t="shared" si="3"/>
      </c>
      <c r="M23" s="9">
        <f t="shared" si="4"/>
      </c>
      <c r="N23" s="21">
        <f t="shared" si="5"/>
      </c>
      <c r="O23" s="47"/>
      <c r="P23" s="47"/>
      <c r="Q23" s="47"/>
      <c r="R23" s="58"/>
      <c r="S23" s="49"/>
    </row>
    <row r="24" spans="1:19" ht="12.75">
      <c r="A24" t="s">
        <v>88</v>
      </c>
      <c r="B24" s="42" t="s">
        <v>48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47"/>
      <c r="P24" s="47"/>
      <c r="Q24" s="47"/>
      <c r="R24" s="58"/>
      <c r="S24" s="49"/>
    </row>
    <row r="25" spans="1:19" ht="12.75">
      <c r="A25" t="s">
        <v>88</v>
      </c>
      <c r="B25" s="42" t="s">
        <v>49</v>
      </c>
      <c r="C25" s="54">
        <v>1</v>
      </c>
      <c r="D25" s="54">
        <v>5</v>
      </c>
      <c r="E25" s="54"/>
      <c r="F25" s="51">
        <f t="shared" si="0"/>
        <v>0.04513888888888889</v>
      </c>
      <c r="G25" s="52" t="s">
        <v>60</v>
      </c>
      <c r="H25" s="51">
        <v>11500</v>
      </c>
      <c r="I25" s="51">
        <f t="shared" si="1"/>
        <v>0.00392512077294686</v>
      </c>
      <c r="J25" s="53"/>
      <c r="K25" s="9">
        <f t="shared" si="2"/>
        <v>0</v>
      </c>
      <c r="L25" s="8">
        <f t="shared" si="3"/>
        <v>5</v>
      </c>
      <c r="M25" s="9">
        <f t="shared" si="4"/>
        <v>39</v>
      </c>
      <c r="N25" s="21">
        <f t="shared" si="5"/>
        <v>10.615384615384615</v>
      </c>
      <c r="O25" s="47"/>
      <c r="P25" s="47"/>
      <c r="Q25" s="47"/>
      <c r="R25" s="58"/>
      <c r="S25" s="49"/>
    </row>
    <row r="26" spans="1:19" ht="12.75">
      <c r="A26" t="s">
        <v>88</v>
      </c>
      <c r="B26" s="42" t="s">
        <v>50</v>
      </c>
      <c r="C26" s="54"/>
      <c r="D26" s="54">
        <v>50</v>
      </c>
      <c r="E26" s="54"/>
      <c r="F26" s="51">
        <f t="shared" si="0"/>
        <v>0.034722222222222224</v>
      </c>
      <c r="G26" s="52" t="s">
        <v>60</v>
      </c>
      <c r="H26" s="51">
        <v>8500</v>
      </c>
      <c r="I26" s="51">
        <f t="shared" si="1"/>
        <v>0.004084967320261438</v>
      </c>
      <c r="J26" s="53"/>
      <c r="K26" s="9">
        <f t="shared" si="2"/>
        <v>0</v>
      </c>
      <c r="L26" s="8">
        <f t="shared" si="3"/>
        <v>5</v>
      </c>
      <c r="M26" s="9">
        <f t="shared" si="4"/>
        <v>53</v>
      </c>
      <c r="N26" s="21">
        <f t="shared" si="5"/>
        <v>10.199999999999998</v>
      </c>
      <c r="O26" s="47"/>
      <c r="P26" s="47"/>
      <c r="Q26" s="47"/>
      <c r="R26" s="58"/>
      <c r="S26" s="49"/>
    </row>
    <row r="27" spans="1:19" ht="12.75">
      <c r="A27" t="s">
        <v>88</v>
      </c>
      <c r="B27" s="42" t="s">
        <v>51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47"/>
      <c r="P27" s="47"/>
      <c r="Q27" s="47"/>
      <c r="R27" s="58"/>
      <c r="S27" s="49"/>
    </row>
    <row r="28" spans="1:19" ht="12.75">
      <c r="A28" t="s">
        <v>88</v>
      </c>
      <c r="B28" s="42" t="s">
        <v>52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47"/>
      <c r="P28" s="47"/>
      <c r="Q28" s="47"/>
      <c r="R28" s="58"/>
      <c r="S28" s="49"/>
    </row>
    <row r="29" spans="1:19" ht="12.75">
      <c r="A29" t="s">
        <v>88</v>
      </c>
      <c r="B29" s="42" t="s">
        <v>53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47"/>
      <c r="P29" s="47"/>
      <c r="Q29" s="47"/>
      <c r="R29" s="58"/>
      <c r="S29" s="49"/>
    </row>
    <row r="30" spans="1:19" ht="12.75">
      <c r="A30" t="s">
        <v>88</v>
      </c>
      <c r="B30" s="42" t="s">
        <v>54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47"/>
      <c r="P30" s="47"/>
      <c r="Q30" s="47"/>
      <c r="R30" s="58"/>
      <c r="S30" s="49"/>
    </row>
    <row r="31" spans="1:19" ht="12.75">
      <c r="A31" t="s">
        <v>88</v>
      </c>
      <c r="B31" s="42" t="s">
        <v>55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47"/>
      <c r="P31" s="47"/>
      <c r="Q31" s="47"/>
      <c r="R31" s="58"/>
      <c r="S31" s="49"/>
    </row>
    <row r="32" spans="1:19" ht="12.75">
      <c r="A32" t="s">
        <v>88</v>
      </c>
      <c r="B32" s="42" t="s">
        <v>56</v>
      </c>
      <c r="C32" s="54"/>
      <c r="D32" s="54">
        <v>54</v>
      </c>
      <c r="E32" s="54"/>
      <c r="F32" s="51">
        <f t="shared" si="0"/>
        <v>0.0375</v>
      </c>
      <c r="G32" s="52" t="s">
        <v>60</v>
      </c>
      <c r="H32" s="51">
        <v>9500</v>
      </c>
      <c r="I32" s="51">
        <f t="shared" si="1"/>
        <v>0.003947368421052632</v>
      </c>
      <c r="J32" s="53"/>
      <c r="K32" s="9">
        <f t="shared" si="2"/>
        <v>0</v>
      </c>
      <c r="L32" s="8">
        <f t="shared" si="3"/>
        <v>5</v>
      </c>
      <c r="M32" s="9">
        <f t="shared" si="4"/>
        <v>41</v>
      </c>
      <c r="N32" s="21">
        <f t="shared" si="5"/>
        <v>10.555555555555555</v>
      </c>
      <c r="O32" s="47"/>
      <c r="P32" s="47"/>
      <c r="Q32" s="47"/>
      <c r="R32" s="58"/>
      <c r="S32" s="49"/>
    </row>
    <row r="33" spans="1:19" ht="12.75">
      <c r="A33" t="s">
        <v>88</v>
      </c>
      <c r="B33" s="42" t="s">
        <v>57</v>
      </c>
      <c r="C33" s="54"/>
      <c r="D33" s="54">
        <v>55</v>
      </c>
      <c r="E33" s="54"/>
      <c r="F33" s="51">
        <f t="shared" si="0"/>
        <v>0.03819444444444444</v>
      </c>
      <c r="G33" s="52" t="s">
        <v>60</v>
      </c>
      <c r="H33" s="51">
        <v>9500</v>
      </c>
      <c r="I33" s="51">
        <f t="shared" si="1"/>
        <v>0.00402046783625731</v>
      </c>
      <c r="J33" s="53"/>
      <c r="K33" s="9">
        <f t="shared" si="2"/>
        <v>0</v>
      </c>
      <c r="L33" s="8">
        <f t="shared" si="3"/>
        <v>5</v>
      </c>
      <c r="M33" s="9">
        <f t="shared" si="4"/>
        <v>47</v>
      </c>
      <c r="N33" s="21">
        <f t="shared" si="5"/>
        <v>10.363636363636363</v>
      </c>
      <c r="O33" s="47"/>
      <c r="P33" s="47"/>
      <c r="Q33" s="47"/>
      <c r="R33" s="58"/>
      <c r="S33" s="49"/>
    </row>
    <row r="34" ht="13.5" thickBot="1"/>
    <row r="35" spans="2:19" ht="13.5" thickBot="1">
      <c r="B35" s="41" t="s">
        <v>24</v>
      </c>
      <c r="C35" s="16">
        <f>HOUR(F35)</f>
        <v>6</v>
      </c>
      <c r="D35" s="16">
        <f>MINUTE(F35)</f>
        <v>24</v>
      </c>
      <c r="E35" s="17">
        <f>SECOND(F35)</f>
        <v>0</v>
      </c>
      <c r="F35" s="2">
        <f>SUMIF($G$3:$G$33,"x",F3:F33)</f>
        <v>0.26666666666666666</v>
      </c>
      <c r="G35" s="29">
        <f>COUNTIF(G3:G33,"x")</f>
        <v>6</v>
      </c>
      <c r="H35" s="2">
        <f>SUMIF($G$3:$G$33,"x",H3:H33)</f>
        <v>67000</v>
      </c>
      <c r="I35" s="2">
        <f>AVERAGE(I3:I34)</f>
        <v>0.003981838293937276</v>
      </c>
      <c r="K35" s="13">
        <f>IF(G35=0,"",HOUR(I35))</f>
        <v>0</v>
      </c>
      <c r="L35" s="14">
        <f>IF(G35=0,"",MINUTE(I35))</f>
        <v>5</v>
      </c>
      <c r="M35" s="14">
        <f>IF(G35=0,"",SECOND(I35))</f>
        <v>44</v>
      </c>
      <c r="N35" s="23">
        <f>IF(G35=0,"",($T$2*H35/F35)/1000)</f>
        <v>10.46875</v>
      </c>
      <c r="O35" s="23"/>
      <c r="P35" s="23"/>
      <c r="Q35" s="23"/>
      <c r="R35" s="60">
        <f>SUM(R3:R33)</f>
        <v>0</v>
      </c>
      <c r="S35" s="15" t="s">
        <v>11</v>
      </c>
    </row>
  </sheetData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pane xSplit="1" ySplit="1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3" sqref="E13"/>
    </sheetView>
  </sheetViews>
  <sheetFormatPr defaultColWidth="11.421875" defaultRowHeight="12.75"/>
  <cols>
    <col min="1" max="1" width="9.421875" style="0" bestFit="1" customWidth="1"/>
    <col min="2" max="2" width="4.00390625" style="0" bestFit="1" customWidth="1"/>
    <col min="3" max="3" width="8.00390625" style="0" bestFit="1" customWidth="1"/>
    <col min="4" max="4" width="4.00390625" style="0" bestFit="1" customWidth="1"/>
    <col min="5" max="5" width="7.00390625" style="0" bestFit="1" customWidth="1"/>
    <col min="6" max="6" width="6.00390625" style="1" bestFit="1" customWidth="1"/>
    <col min="7" max="7" width="12.00390625" style="1" hidden="1" customWidth="1"/>
    <col min="8" max="8" width="9.140625" style="1" bestFit="1" customWidth="1"/>
    <col min="9" max="9" width="12.00390625" style="1" hidden="1" customWidth="1"/>
    <col min="10" max="10" width="7.140625" style="1" bestFit="1" customWidth="1"/>
    <col min="11" max="11" width="8.28125" style="1" bestFit="1" customWidth="1"/>
    <col min="12" max="12" width="6.00390625" style="1" customWidth="1"/>
    <col min="13" max="14" width="13.140625" style="1" customWidth="1"/>
    <col min="15" max="16384" width="13.140625" style="0" customWidth="1"/>
  </cols>
  <sheetData>
    <row r="1" spans="1:12" ht="94.5" customHeight="1" thickBot="1">
      <c r="A1" s="80" t="s">
        <v>65</v>
      </c>
      <c r="B1" s="76" t="s">
        <v>76</v>
      </c>
      <c r="C1" s="73" t="s">
        <v>79</v>
      </c>
      <c r="D1" s="73" t="s">
        <v>77</v>
      </c>
      <c r="E1" s="73" t="s">
        <v>78</v>
      </c>
      <c r="F1" s="73" t="s">
        <v>143</v>
      </c>
      <c r="G1" s="74" t="s">
        <v>4</v>
      </c>
      <c r="H1" s="116" t="s">
        <v>144</v>
      </c>
      <c r="I1" s="74" t="s">
        <v>91</v>
      </c>
      <c r="J1" s="116" t="s">
        <v>145</v>
      </c>
      <c r="K1" s="75" t="s">
        <v>74</v>
      </c>
      <c r="L1" s="61"/>
    </row>
    <row r="2" spans="1:14" ht="12.75">
      <c r="A2" s="81" t="s">
        <v>66</v>
      </c>
      <c r="B2" s="77">
        <v>31</v>
      </c>
      <c r="C2" s="70">
        <f>janv!$H$35</f>
        <v>71500</v>
      </c>
      <c r="D2" s="70">
        <f>janv!$G$35</f>
        <v>8</v>
      </c>
      <c r="E2" s="70">
        <f aca="true" t="shared" si="0" ref="E2:E13">IF(D2=0,"",C2/D2)</f>
        <v>8937.5</v>
      </c>
      <c r="F2" s="70">
        <f>(C2/B2)*7</f>
        <v>16145.161290322581</v>
      </c>
      <c r="G2" s="71">
        <f>janv!$F$35</f>
        <v>0.29795138888888884</v>
      </c>
      <c r="H2" s="103" t="str">
        <f aca="true" t="shared" si="1" ref="H2:H13">CONCATENATE(HOUR(G2),":",IF(LEN(MINUTE(G2))&gt;1,"","0"),MINUTE(G2),":",IF(LEN(SECOND(G2))&gt;1,"","0"),SECOND(G2))</f>
        <v>7:09:03</v>
      </c>
      <c r="I2" s="71">
        <f>IF(D2=0,0,G2/D2)</f>
        <v>0.037243923611111104</v>
      </c>
      <c r="J2" s="103" t="str">
        <f>CONCATENATE(HOUR(I2),":",IF(LEN(MINUTE(I2))&gt;1,"","0"),MINUTE(I2),":",IF(LEN(SECOND(I2))&gt;1,"","0"),SECOND(I2))</f>
        <v>0:53:38</v>
      </c>
      <c r="K2" s="72">
        <f>janv!$R$35</f>
        <v>500</v>
      </c>
      <c r="L2" s="1">
        <f>B2</f>
        <v>31</v>
      </c>
      <c r="M2" s="1">
        <f>C2</f>
        <v>71500</v>
      </c>
      <c r="N2" s="1">
        <f>(M2/L2)*7</f>
        <v>16145.161290322581</v>
      </c>
    </row>
    <row r="3" spans="1:14" ht="12.75">
      <c r="A3" s="82" t="s">
        <v>67</v>
      </c>
      <c r="B3" s="78">
        <f>Sommaire!$B$4</f>
        <v>29</v>
      </c>
      <c r="C3" s="62">
        <f>fev!$H$35</f>
        <v>84500</v>
      </c>
      <c r="D3" s="62">
        <f>fev!$G$35</f>
        <v>8</v>
      </c>
      <c r="E3" s="62">
        <f t="shared" si="0"/>
        <v>10562.5</v>
      </c>
      <c r="F3" s="62">
        <f aca="true" t="shared" si="2" ref="F3:F13">(C3/B3)*7</f>
        <v>20396.55172413793</v>
      </c>
      <c r="G3" s="8">
        <f>fev!$F$35</f>
        <v>0.3298611111111111</v>
      </c>
      <c r="H3" s="104" t="str">
        <f t="shared" si="1"/>
        <v>7:55:00</v>
      </c>
      <c r="I3" s="71">
        <f aca="true" t="shared" si="3" ref="I3:I13">IF(D3=0,0,G3/D3)</f>
        <v>0.04123263888888889</v>
      </c>
      <c r="J3" s="104" t="str">
        <f>CONCATENATE(HOUR(I3),":",IF(LEN(MINUTE(I3))&gt;1,"","0"),MINUTE(I3),":",IF(LEN(SECOND(I3))&gt;1,"","0"),SECOND(I3))</f>
        <v>0:59:23</v>
      </c>
      <c r="K3" s="63">
        <f>fev!$R$37</f>
        <v>0</v>
      </c>
      <c r="L3" s="1">
        <f>SUM($B$2:B3)</f>
        <v>60</v>
      </c>
      <c r="M3" s="1">
        <f>SUM($C$2:C3)</f>
        <v>156000</v>
      </c>
      <c r="N3" s="1">
        <f>(M3/L3)*7</f>
        <v>18200</v>
      </c>
    </row>
    <row r="4" spans="1:14" ht="12.75">
      <c r="A4" s="82" t="s">
        <v>20</v>
      </c>
      <c r="B4" s="78">
        <v>31</v>
      </c>
      <c r="C4" s="62">
        <f>mars!$H$35</f>
        <v>95300</v>
      </c>
      <c r="D4" s="62">
        <f>mars!$G$35</f>
        <v>9</v>
      </c>
      <c r="E4" s="62">
        <f t="shared" si="0"/>
        <v>10588.888888888889</v>
      </c>
      <c r="F4" s="62">
        <f t="shared" si="2"/>
        <v>21519.354838709674</v>
      </c>
      <c r="G4" s="8">
        <f>mars!$F$35</f>
        <v>0.3778472222222223</v>
      </c>
      <c r="H4" s="104" t="str">
        <f t="shared" si="1"/>
        <v>9:04:06</v>
      </c>
      <c r="I4" s="71">
        <f t="shared" si="3"/>
        <v>0.041983024691358034</v>
      </c>
      <c r="J4" s="104" t="str">
        <f aca="true" t="shared" si="4" ref="J4:J13">CONCATENATE(HOUR(I4),":",IF(LEN(MINUTE(I4))&gt;1,"","0"),MINUTE(I4),":",IF(LEN(SECOND(I4))&gt;1,"","0"),SECOND(I4))</f>
        <v>1:00:27</v>
      </c>
      <c r="K4" s="63">
        <f>mars!$R$35</f>
        <v>649</v>
      </c>
      <c r="L4" s="1">
        <f>SUM($B$2:B4)</f>
        <v>91</v>
      </c>
      <c r="M4" s="1">
        <f>SUM($C$2:C4)</f>
        <v>251300</v>
      </c>
      <c r="N4" s="1">
        <f aca="true" t="shared" si="5" ref="N4:N13">(M4/L4)*7</f>
        <v>19330.76923076923</v>
      </c>
    </row>
    <row r="5" spans="1:14" ht="12.75">
      <c r="A5" s="82" t="s">
        <v>68</v>
      </c>
      <c r="B5" s="78">
        <v>30</v>
      </c>
      <c r="C5" s="62">
        <f>avril!$H$35</f>
        <v>111100</v>
      </c>
      <c r="D5" s="62">
        <f>avril!$G$35</f>
        <v>11</v>
      </c>
      <c r="E5" s="62">
        <f t="shared" si="0"/>
        <v>10100</v>
      </c>
      <c r="F5" s="62">
        <f t="shared" si="2"/>
        <v>25923.333333333336</v>
      </c>
      <c r="G5" s="8">
        <f>avril!$F$35</f>
        <v>0.4585416666666666</v>
      </c>
      <c r="H5" s="104" t="str">
        <f t="shared" si="1"/>
        <v>11:00:18</v>
      </c>
      <c r="I5" s="71">
        <f t="shared" si="3"/>
        <v>0.041685606060606055</v>
      </c>
      <c r="J5" s="104" t="str">
        <f t="shared" si="4"/>
        <v>1:00:02</v>
      </c>
      <c r="K5" s="63">
        <f>avril!$R$35</f>
        <v>0</v>
      </c>
      <c r="L5" s="1">
        <f>SUM($B$2:B5)</f>
        <v>121</v>
      </c>
      <c r="M5" s="1">
        <f>SUM($C$2:C5)</f>
        <v>362400</v>
      </c>
      <c r="N5" s="1">
        <f t="shared" si="5"/>
        <v>20965.289256198346</v>
      </c>
    </row>
    <row r="6" spans="1:14" ht="12.75">
      <c r="A6" s="82" t="s">
        <v>21</v>
      </c>
      <c r="B6" s="78">
        <v>31</v>
      </c>
      <c r="C6" s="62">
        <f>mai!$H$35</f>
        <v>132300</v>
      </c>
      <c r="D6" s="62">
        <f>mai!$G$35</f>
        <v>12</v>
      </c>
      <c r="E6" s="62">
        <f t="shared" si="0"/>
        <v>11025</v>
      </c>
      <c r="F6" s="62">
        <f t="shared" si="2"/>
        <v>29874.1935483871</v>
      </c>
      <c r="G6" s="8">
        <f>mai!$F$35</f>
        <v>0.5257060185185185</v>
      </c>
      <c r="H6" s="104" t="str">
        <f t="shared" si="1"/>
        <v>12:37:01</v>
      </c>
      <c r="I6" s="71">
        <f t="shared" si="3"/>
        <v>0.04380883487654321</v>
      </c>
      <c r="J6" s="104" t="str">
        <f t="shared" si="4"/>
        <v>1:03:05</v>
      </c>
      <c r="K6" s="63">
        <f>mai!$R$35</f>
        <v>90</v>
      </c>
      <c r="L6" s="1">
        <f>SUM($B$2:B6)</f>
        <v>152</v>
      </c>
      <c r="M6" s="1">
        <f>SUM($C$2:C6)</f>
        <v>494700</v>
      </c>
      <c r="N6" s="1">
        <f t="shared" si="5"/>
        <v>22782.236842105263</v>
      </c>
    </row>
    <row r="7" spans="1:14" ht="12.75">
      <c r="A7" s="82" t="s">
        <v>22</v>
      </c>
      <c r="B7" s="78">
        <v>30</v>
      </c>
      <c r="C7" s="62">
        <f>juin!$H$35</f>
        <v>170200</v>
      </c>
      <c r="D7" s="62">
        <f>juin!$G$35</f>
        <v>16</v>
      </c>
      <c r="E7" s="62">
        <f t="shared" si="0"/>
        <v>10637.5</v>
      </c>
      <c r="F7" s="62">
        <f t="shared" si="2"/>
        <v>39713.33333333333</v>
      </c>
      <c r="G7" s="8">
        <f>juin!$F$35</f>
        <v>0.6468287037037036</v>
      </c>
      <c r="H7" s="104" t="str">
        <f t="shared" si="1"/>
        <v>15:31:26</v>
      </c>
      <c r="I7" s="71">
        <f t="shared" si="3"/>
        <v>0.040426793981481475</v>
      </c>
      <c r="J7" s="104" t="str">
        <f t="shared" si="4"/>
        <v>0:58:13</v>
      </c>
      <c r="K7" s="63">
        <f>juin!$R$35</f>
        <v>100</v>
      </c>
      <c r="L7" s="1">
        <f>SUM($B$2:B7)</f>
        <v>182</v>
      </c>
      <c r="M7" s="1">
        <f>SUM($C$2:C7)</f>
        <v>664900</v>
      </c>
      <c r="N7" s="1">
        <f t="shared" si="5"/>
        <v>25573.076923076922</v>
      </c>
    </row>
    <row r="8" spans="1:14" ht="12.75">
      <c r="A8" s="82" t="s">
        <v>69</v>
      </c>
      <c r="B8" s="78">
        <v>31</v>
      </c>
      <c r="C8" s="62">
        <f>juil!$H$35</f>
        <v>110600</v>
      </c>
      <c r="D8" s="62">
        <f>juil!$G$35</f>
        <v>11</v>
      </c>
      <c r="E8" s="62">
        <f t="shared" si="0"/>
        <v>10054.545454545454</v>
      </c>
      <c r="F8" s="62">
        <f t="shared" si="2"/>
        <v>24974.193548387095</v>
      </c>
      <c r="G8" s="8">
        <f>juil!$F$35</f>
        <v>0.4375</v>
      </c>
      <c r="H8" s="104" t="str">
        <f t="shared" si="1"/>
        <v>10:30:00</v>
      </c>
      <c r="I8" s="71">
        <f t="shared" si="3"/>
        <v>0.03977272727272727</v>
      </c>
      <c r="J8" s="104" t="str">
        <f t="shared" si="4"/>
        <v>0:57:16</v>
      </c>
      <c r="K8" s="63">
        <f>juil!$R$35</f>
        <v>0</v>
      </c>
      <c r="L8" s="1">
        <f>SUM($B$2:B8)</f>
        <v>213</v>
      </c>
      <c r="M8" s="1">
        <f>SUM($C$2:C8)</f>
        <v>775500</v>
      </c>
      <c r="N8" s="1">
        <f t="shared" si="5"/>
        <v>25485.915492957745</v>
      </c>
    </row>
    <row r="9" spans="1:14" ht="12.75">
      <c r="A9" s="82" t="s">
        <v>23</v>
      </c>
      <c r="B9" s="78">
        <v>31</v>
      </c>
      <c r="C9" s="62">
        <f>aout!$H$35</f>
        <v>185300</v>
      </c>
      <c r="D9" s="62">
        <f>aout!$G$35</f>
        <v>16</v>
      </c>
      <c r="E9" s="62">
        <f t="shared" si="0"/>
        <v>11581.25</v>
      </c>
      <c r="F9" s="62">
        <f t="shared" si="2"/>
        <v>41841.93548387096</v>
      </c>
      <c r="G9" s="8">
        <f>aout!$F$35</f>
        <v>0.7314814814814814</v>
      </c>
      <c r="H9" s="104" t="str">
        <f t="shared" si="1"/>
        <v>17:33:20</v>
      </c>
      <c r="I9" s="71">
        <f t="shared" si="3"/>
        <v>0.04571759259259259</v>
      </c>
      <c r="J9" s="104" t="str">
        <f t="shared" si="4"/>
        <v>1:05:50</v>
      </c>
      <c r="K9" s="63">
        <f>aout!$R$35</f>
        <v>0</v>
      </c>
      <c r="L9" s="1">
        <f>SUM($B$2:B9)</f>
        <v>244</v>
      </c>
      <c r="M9" s="1">
        <f>SUM($C$2:C9)</f>
        <v>960800</v>
      </c>
      <c r="N9" s="1">
        <f t="shared" si="5"/>
        <v>27563.934426229505</v>
      </c>
    </row>
    <row r="10" spans="1:14" ht="12.75">
      <c r="A10" s="82" t="s">
        <v>70</v>
      </c>
      <c r="B10" s="78">
        <v>30</v>
      </c>
      <c r="C10" s="62">
        <f>sept!$H$35</f>
        <v>147700</v>
      </c>
      <c r="D10" s="62">
        <f>sept!$G$35</f>
        <v>12</v>
      </c>
      <c r="E10" s="62">
        <f t="shared" si="0"/>
        <v>12308.333333333334</v>
      </c>
      <c r="F10" s="62">
        <f t="shared" si="2"/>
        <v>34463.33333333333</v>
      </c>
      <c r="G10" s="8">
        <f>sept!$F$35</f>
        <v>0.5696875</v>
      </c>
      <c r="H10" s="104" t="str">
        <f t="shared" si="1"/>
        <v>13:40:21</v>
      </c>
      <c r="I10" s="71">
        <f t="shared" si="3"/>
        <v>0.04747395833333334</v>
      </c>
      <c r="J10" s="104" t="str">
        <f t="shared" si="4"/>
        <v>1:08:22</v>
      </c>
      <c r="K10" s="63">
        <f>sept!$R$35</f>
        <v>105</v>
      </c>
      <c r="L10" s="1">
        <f>SUM($B$2:B10)</f>
        <v>274</v>
      </c>
      <c r="M10" s="1">
        <f>SUM($C$2:C10)</f>
        <v>1108500</v>
      </c>
      <c r="N10" s="1">
        <f t="shared" si="5"/>
        <v>28319.343065693432</v>
      </c>
    </row>
    <row r="11" spans="1:14" ht="12.75">
      <c r="A11" s="82" t="s">
        <v>71</v>
      </c>
      <c r="B11" s="78">
        <v>31</v>
      </c>
      <c r="C11" s="62">
        <f>oct!$H$35</f>
        <v>70400</v>
      </c>
      <c r="D11" s="62">
        <f>oct!$G$35</f>
        <v>6</v>
      </c>
      <c r="E11" s="62">
        <f t="shared" si="0"/>
        <v>11733.333333333334</v>
      </c>
      <c r="F11" s="62">
        <f t="shared" si="2"/>
        <v>15896.774193548386</v>
      </c>
      <c r="G11" s="8">
        <f>oct!$F$35</f>
        <v>0.26699074074074075</v>
      </c>
      <c r="H11" s="104" t="str">
        <f t="shared" si="1"/>
        <v>6:24:28</v>
      </c>
      <c r="I11" s="71">
        <f t="shared" si="3"/>
        <v>0.04449845679012346</v>
      </c>
      <c r="J11" s="104" t="str">
        <f t="shared" si="4"/>
        <v>1:04:05</v>
      </c>
      <c r="K11" s="63">
        <f>oct!$R$35</f>
        <v>50</v>
      </c>
      <c r="L11" s="1">
        <f>SUM($B$2:B11)</f>
        <v>305</v>
      </c>
      <c r="M11" s="1">
        <f>SUM($C$2:C11)</f>
        <v>1178900</v>
      </c>
      <c r="N11" s="1">
        <f t="shared" si="5"/>
        <v>27056.72131147541</v>
      </c>
    </row>
    <row r="12" spans="1:14" ht="12.75">
      <c r="A12" s="82" t="s">
        <v>72</v>
      </c>
      <c r="B12" s="78">
        <v>30</v>
      </c>
      <c r="C12" s="62">
        <f>nov!$H$35</f>
        <v>81100</v>
      </c>
      <c r="D12" s="62">
        <f>nov!$G$35</f>
        <v>7</v>
      </c>
      <c r="E12" s="62">
        <f t="shared" si="0"/>
        <v>11585.714285714286</v>
      </c>
      <c r="F12" s="62">
        <f t="shared" si="2"/>
        <v>18923.333333333336</v>
      </c>
      <c r="G12" s="8">
        <f>nov!$F$35</f>
        <v>0.30624999999999997</v>
      </c>
      <c r="H12" s="104" t="str">
        <f t="shared" si="1"/>
        <v>7:21:00</v>
      </c>
      <c r="I12" s="71">
        <f t="shared" si="3"/>
        <v>0.04375</v>
      </c>
      <c r="J12" s="104" t="str">
        <f t="shared" si="4"/>
        <v>1:03:00</v>
      </c>
      <c r="K12" s="63">
        <f>nov!$R$35</f>
        <v>40</v>
      </c>
      <c r="L12" s="1">
        <f>SUM($B$2:B12)</f>
        <v>335</v>
      </c>
      <c r="M12" s="1">
        <f>SUM($C$2:C12)</f>
        <v>1260000</v>
      </c>
      <c r="N12" s="1">
        <f t="shared" si="5"/>
        <v>26328.358208955222</v>
      </c>
    </row>
    <row r="13" spans="1:14" ht="13.5" thickBot="1">
      <c r="A13" s="83" t="s">
        <v>73</v>
      </c>
      <c r="B13" s="79">
        <v>31</v>
      </c>
      <c r="C13" s="64">
        <f>dec!$H$35</f>
        <v>67000</v>
      </c>
      <c r="D13" s="64">
        <f>dec!$G$35</f>
        <v>6</v>
      </c>
      <c r="E13" s="64">
        <f t="shared" si="0"/>
        <v>11166.666666666666</v>
      </c>
      <c r="F13" s="64">
        <f t="shared" si="2"/>
        <v>15129.032258064517</v>
      </c>
      <c r="G13" s="65">
        <f>dec!$F$35</f>
        <v>0.26666666666666666</v>
      </c>
      <c r="H13" s="105" t="str">
        <f t="shared" si="1"/>
        <v>6:24:00</v>
      </c>
      <c r="I13" s="65">
        <f t="shared" si="3"/>
        <v>0.044444444444444446</v>
      </c>
      <c r="J13" s="105" t="str">
        <f t="shared" si="4"/>
        <v>1:04:00</v>
      </c>
      <c r="K13" s="66">
        <f>dec!$R$35</f>
        <v>0</v>
      </c>
      <c r="L13" s="1">
        <f>SUM($B$2:B13)</f>
        <v>366</v>
      </c>
      <c r="M13" s="1">
        <f>SUM($C$2:C13)</f>
        <v>1327000</v>
      </c>
      <c r="N13" s="1">
        <f t="shared" si="5"/>
        <v>25379.78142076503</v>
      </c>
    </row>
    <row r="14" spans="3:11" ht="13.5" thickBot="1">
      <c r="C14" s="1"/>
      <c r="D14" s="1"/>
      <c r="E14" s="1"/>
      <c r="K14" s="59"/>
    </row>
    <row r="15" spans="1:11" ht="12.75">
      <c r="A15" s="87" t="s">
        <v>24</v>
      </c>
      <c r="B15" s="86">
        <f>SUM(B2:B13)</f>
        <v>366</v>
      </c>
      <c r="C15" s="67">
        <f>SUM(C2:C13)</f>
        <v>1327000</v>
      </c>
      <c r="D15" s="67">
        <f>SUM(D2:D13)</f>
        <v>122</v>
      </c>
      <c r="E15" s="84"/>
      <c r="F15" s="67"/>
      <c r="G15" s="68">
        <f>SUM(G2:G13)</f>
        <v>5.2153125</v>
      </c>
      <c r="H15" s="106" t="str">
        <f>CONCATENATE((DAY(G15)*24)+HOUR(G15),":",IF(LEN(MINUTE(G15))&gt;1,"","0"),MINUTE(G15),":",IF(LEN(SECOND(G15))&gt;1,"","0"),SECOND(G15))</f>
        <v>125:10:03</v>
      </c>
      <c r="I15" s="67"/>
      <c r="J15" s="108"/>
      <c r="K15" s="69">
        <f>SUM(K2:K13)</f>
        <v>1534</v>
      </c>
    </row>
    <row r="16" spans="1:11" ht="26.25" thickBot="1">
      <c r="A16" s="88" t="s">
        <v>64</v>
      </c>
      <c r="B16" s="79"/>
      <c r="C16" s="64">
        <f>AVERAGE(C2:C13)</f>
        <v>110583.33333333333</v>
      </c>
      <c r="D16" s="64">
        <f>AVERAGE(D2:D13)</f>
        <v>10.166666666666666</v>
      </c>
      <c r="E16" s="64">
        <f>IF(D15=0,"",C15/D15)</f>
        <v>10877.04918032787</v>
      </c>
      <c r="F16" s="64">
        <f>(C15/B15)*7</f>
        <v>25379.78142076503</v>
      </c>
      <c r="G16" s="65">
        <f>AVERAGE(G2:G13)</f>
        <v>0.43460937499999996</v>
      </c>
      <c r="H16" s="107" t="str">
        <f>CONCATENATE((DAY(G16)*24)+HOUR(G16),":",IF(LEN(MINUTE(G16))&gt;1,"","0"),MINUTE(G16),":",IF(LEN(SECOND(G16))&gt;1,"","0"),SECOND(G16))</f>
        <v>10:25:50</v>
      </c>
      <c r="I16" s="65">
        <f>AVERAGE(I2:I13)</f>
        <v>0.042669833461934155</v>
      </c>
      <c r="J16" s="105" t="str">
        <f>CONCATENATE(HOUR(I16),":",IF(LEN(MINUTE(I16))&gt;1,"","0"),MINUTE(I16),":",IF(LEN(SECOND(I16))&gt;1,"","0"),SECOND(I16))</f>
        <v>1:01:27</v>
      </c>
      <c r="K16" s="85">
        <f>AVERAGE(K2:K13)</f>
        <v>127.83333333333333</v>
      </c>
    </row>
    <row r="17" spans="3:5" ht="12.75">
      <c r="C17" s="1"/>
      <c r="D17" s="1"/>
      <c r="E17" s="1"/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D10" sqref="D10"/>
    </sheetView>
  </sheetViews>
  <sheetFormatPr defaultColWidth="11.421875" defaultRowHeight="12.75"/>
  <cols>
    <col min="1" max="1" width="26.57421875" style="2" bestFit="1" customWidth="1"/>
    <col min="2" max="2" width="2.28125" style="0" bestFit="1" customWidth="1"/>
    <col min="3" max="4" width="3.00390625" style="0" bestFit="1" customWidth="1"/>
    <col min="5" max="5" width="12.57421875" style="0" hidden="1" customWidth="1"/>
    <col min="6" max="6" width="14.00390625" style="22" bestFit="1" customWidth="1"/>
    <col min="7" max="7" width="2.28125" style="0" bestFit="1" customWidth="1"/>
    <col min="8" max="9" width="3.00390625" style="0" bestFit="1" customWidth="1"/>
    <col min="10" max="10" width="12.00390625" style="2" bestFit="1" customWidth="1"/>
  </cols>
  <sheetData>
    <row r="1" spans="1:18" ht="12.75">
      <c r="A1" s="29" t="s">
        <v>1</v>
      </c>
      <c r="B1" s="26" t="s">
        <v>7</v>
      </c>
      <c r="C1" s="26" t="s">
        <v>8</v>
      </c>
      <c r="D1" s="26" t="s">
        <v>6</v>
      </c>
      <c r="E1" s="26" t="s">
        <v>18</v>
      </c>
      <c r="F1" s="30" t="s">
        <v>17</v>
      </c>
      <c r="G1" s="29" t="s">
        <v>7</v>
      </c>
      <c r="H1" s="29" t="s">
        <v>8</v>
      </c>
      <c r="I1" s="29" t="s">
        <v>6</v>
      </c>
      <c r="J1" s="29"/>
      <c r="K1" s="2"/>
      <c r="P1" s="22"/>
      <c r="R1" s="1"/>
    </row>
    <row r="2" spans="1:18" ht="12.75">
      <c r="A2" s="34">
        <v>21100</v>
      </c>
      <c r="B2" s="35"/>
      <c r="C2" s="35">
        <v>5</v>
      </c>
      <c r="D2" s="35">
        <v>3</v>
      </c>
      <c r="E2" s="8">
        <f>TIME(B2,C2,D2)</f>
        <v>0.0035069444444444445</v>
      </c>
      <c r="F2" s="31">
        <f>TIME(1,0,0)/E2</f>
        <v>11.881188118811881</v>
      </c>
      <c r="G2" s="32">
        <f>HOUR(J2)</f>
        <v>1</v>
      </c>
      <c r="H2" s="33">
        <f>MINUTE(J2)</f>
        <v>46</v>
      </c>
      <c r="I2" s="32">
        <f>SECOND(J2)</f>
        <v>33</v>
      </c>
      <c r="J2" s="2">
        <f>(A2*TIME(1,0,0))/(F2*1000)</f>
        <v>0.07399652777777778</v>
      </c>
      <c r="K2" s="2"/>
      <c r="P2" s="22"/>
      <c r="R2" s="1"/>
    </row>
    <row r="3" spans="1:18" ht="12.75">
      <c r="A3" s="34">
        <v>21100</v>
      </c>
      <c r="B3" s="32">
        <f>HOUR(E3)</f>
        <v>0</v>
      </c>
      <c r="C3" s="33">
        <f>MINUTE(E3)</f>
        <v>5</v>
      </c>
      <c r="D3" s="32">
        <f>SECOND(E3)</f>
        <v>3</v>
      </c>
      <c r="E3" s="8">
        <f>TIME(1,0,0)/F3</f>
        <v>0.0035014005602240893</v>
      </c>
      <c r="F3" s="36">
        <v>11.9</v>
      </c>
      <c r="G3" s="32">
        <f>HOUR(J3)</f>
        <v>1</v>
      </c>
      <c r="H3" s="33">
        <f>MINUTE(J3)</f>
        <v>46</v>
      </c>
      <c r="I3" s="32">
        <f>SECOND(J3)</f>
        <v>23</v>
      </c>
      <c r="J3" s="2">
        <f>(TIME(1,0,0)*A3)/(F3*1000)</f>
        <v>0.07387955182072829</v>
      </c>
      <c r="K3" s="2"/>
      <c r="P3" s="22"/>
      <c r="R3" s="1"/>
    </row>
    <row r="4" spans="2:18" ht="12.75">
      <c r="B4" s="1"/>
      <c r="C4" s="1"/>
      <c r="D4" s="1"/>
      <c r="E4" s="1"/>
      <c r="G4" s="2"/>
      <c r="H4" s="2"/>
      <c r="I4" s="22"/>
      <c r="K4" s="2"/>
      <c r="P4" s="22"/>
      <c r="R4" s="1"/>
    </row>
    <row r="5" spans="2:18" ht="12.75">
      <c r="B5" s="1"/>
      <c r="C5" s="1"/>
      <c r="D5" s="1"/>
      <c r="E5" s="1"/>
      <c r="G5" s="2"/>
      <c r="H5" s="2"/>
      <c r="I5" s="2"/>
      <c r="K5" s="2"/>
      <c r="P5" s="22"/>
      <c r="R5" s="1"/>
    </row>
    <row r="6" spans="2:18" ht="12.75">
      <c r="B6" s="1"/>
      <c r="C6" s="1"/>
      <c r="D6" s="1"/>
      <c r="E6" s="1"/>
      <c r="G6" s="2"/>
      <c r="H6" s="2"/>
      <c r="I6" s="2"/>
      <c r="K6" s="2"/>
      <c r="P6" s="22"/>
      <c r="R6" s="1"/>
    </row>
    <row r="7" spans="1:18" ht="12.75">
      <c r="A7" s="2" t="s">
        <v>12</v>
      </c>
      <c r="B7" s="1"/>
      <c r="C7" s="1"/>
      <c r="D7" s="1"/>
      <c r="E7" s="1"/>
      <c r="G7" s="2"/>
      <c r="H7" s="2"/>
      <c r="I7" s="2"/>
      <c r="K7" s="2"/>
      <c r="P7" s="22"/>
      <c r="R7" s="1"/>
    </row>
    <row r="9" spans="1:5" ht="12.75">
      <c r="A9" s="2" t="s">
        <v>19</v>
      </c>
      <c r="B9" s="38"/>
      <c r="C9" s="38">
        <v>5</v>
      </c>
      <c r="D9" s="38">
        <v>20</v>
      </c>
      <c r="E9">
        <f>TIME(B9,C9,D9)</f>
        <v>0.0037037037037037034</v>
      </c>
    </row>
    <row r="10" spans="1:5" ht="12.75">
      <c r="A10" s="37">
        <v>1</v>
      </c>
      <c r="B10">
        <f>HOUR(E10)</f>
        <v>0</v>
      </c>
      <c r="C10">
        <f>MINUTE(E10)</f>
        <v>5</v>
      </c>
      <c r="D10">
        <f>SECOND(E10)</f>
        <v>20</v>
      </c>
      <c r="E10">
        <f>$E$9*A10</f>
        <v>0.0037037037037037034</v>
      </c>
    </row>
    <row r="11" spans="1:5" ht="12.75">
      <c r="A11" s="2">
        <v>2</v>
      </c>
      <c r="B11">
        <f>HOUR(E11)</f>
        <v>0</v>
      </c>
      <c r="C11">
        <f>MINUTE(E11)</f>
        <v>10</v>
      </c>
      <c r="D11">
        <f>SECOND(E11)</f>
        <v>40</v>
      </c>
      <c r="E11">
        <f aca="true" t="shared" si="0" ref="E11:E29">$E$9*A11</f>
        <v>0.007407407407407407</v>
      </c>
    </row>
    <row r="12" spans="1:5" ht="12.75">
      <c r="A12" s="2">
        <v>3</v>
      </c>
      <c r="B12">
        <f aca="true" t="shared" si="1" ref="B12:B29">HOUR(E12)</f>
        <v>0</v>
      </c>
      <c r="C12">
        <f aca="true" t="shared" si="2" ref="C12:C29">MINUTE(E12)</f>
        <v>16</v>
      </c>
      <c r="D12">
        <f aca="true" t="shared" si="3" ref="D12:D29">SECOND(E12)</f>
        <v>0</v>
      </c>
      <c r="E12">
        <f t="shared" si="0"/>
        <v>0.01111111111111111</v>
      </c>
    </row>
    <row r="13" spans="1:5" ht="12.75">
      <c r="A13" s="2">
        <v>4</v>
      </c>
      <c r="B13">
        <f t="shared" si="1"/>
        <v>0</v>
      </c>
      <c r="C13">
        <f t="shared" si="2"/>
        <v>21</v>
      </c>
      <c r="D13">
        <f t="shared" si="3"/>
        <v>20</v>
      </c>
      <c r="E13">
        <f t="shared" si="0"/>
        <v>0.014814814814814814</v>
      </c>
    </row>
    <row r="14" spans="1:5" ht="12.75">
      <c r="A14" s="2">
        <v>5</v>
      </c>
      <c r="B14">
        <f t="shared" si="1"/>
        <v>0</v>
      </c>
      <c r="C14">
        <f t="shared" si="2"/>
        <v>26</v>
      </c>
      <c r="D14">
        <f t="shared" si="3"/>
        <v>40</v>
      </c>
      <c r="E14">
        <f t="shared" si="0"/>
        <v>0.018518518518518517</v>
      </c>
    </row>
    <row r="15" spans="1:5" ht="12.75">
      <c r="A15" s="2">
        <v>6</v>
      </c>
      <c r="B15">
        <f t="shared" si="1"/>
        <v>0</v>
      </c>
      <c r="C15">
        <f t="shared" si="2"/>
        <v>32</v>
      </c>
      <c r="D15">
        <f t="shared" si="3"/>
        <v>0</v>
      </c>
      <c r="E15">
        <f t="shared" si="0"/>
        <v>0.02222222222222222</v>
      </c>
    </row>
    <row r="16" spans="1:5" ht="12.75">
      <c r="A16" s="2">
        <v>7</v>
      </c>
      <c r="B16">
        <f t="shared" si="1"/>
        <v>0</v>
      </c>
      <c r="C16">
        <f t="shared" si="2"/>
        <v>37</v>
      </c>
      <c r="D16">
        <f t="shared" si="3"/>
        <v>20</v>
      </c>
      <c r="E16">
        <f t="shared" si="0"/>
        <v>0.025925925925925925</v>
      </c>
    </row>
    <row r="17" spans="1:5" ht="12.75">
      <c r="A17" s="2">
        <v>8</v>
      </c>
      <c r="B17">
        <f t="shared" si="1"/>
        <v>0</v>
      </c>
      <c r="C17">
        <f t="shared" si="2"/>
        <v>42</v>
      </c>
      <c r="D17">
        <f t="shared" si="3"/>
        <v>40</v>
      </c>
      <c r="E17">
        <f t="shared" si="0"/>
        <v>0.029629629629629627</v>
      </c>
    </row>
    <row r="18" spans="1:5" ht="12.75">
      <c r="A18" s="2">
        <v>9</v>
      </c>
      <c r="B18">
        <f t="shared" si="1"/>
        <v>0</v>
      </c>
      <c r="C18">
        <f t="shared" si="2"/>
        <v>48</v>
      </c>
      <c r="D18">
        <f t="shared" si="3"/>
        <v>0</v>
      </c>
      <c r="E18">
        <f t="shared" si="0"/>
        <v>0.03333333333333333</v>
      </c>
    </row>
    <row r="19" spans="1:5" ht="12.75">
      <c r="A19" s="2">
        <v>10</v>
      </c>
      <c r="B19">
        <f t="shared" si="1"/>
        <v>0</v>
      </c>
      <c r="C19">
        <f t="shared" si="2"/>
        <v>53</v>
      </c>
      <c r="D19">
        <f t="shared" si="3"/>
        <v>20</v>
      </c>
      <c r="E19">
        <f t="shared" si="0"/>
        <v>0.037037037037037035</v>
      </c>
    </row>
    <row r="20" spans="1:5" ht="12.75">
      <c r="A20" s="2">
        <v>11</v>
      </c>
      <c r="B20">
        <f t="shared" si="1"/>
        <v>0</v>
      </c>
      <c r="C20">
        <f t="shared" si="2"/>
        <v>58</v>
      </c>
      <c r="D20">
        <f t="shared" si="3"/>
        <v>40</v>
      </c>
      <c r="E20">
        <f t="shared" si="0"/>
        <v>0.04074074074074074</v>
      </c>
    </row>
    <row r="21" spans="1:5" ht="12.75">
      <c r="A21" s="2">
        <v>12</v>
      </c>
      <c r="B21">
        <f t="shared" si="1"/>
        <v>1</v>
      </c>
      <c r="C21">
        <f t="shared" si="2"/>
        <v>4</v>
      </c>
      <c r="D21">
        <f t="shared" si="3"/>
        <v>0</v>
      </c>
      <c r="E21">
        <f t="shared" si="0"/>
        <v>0.04444444444444444</v>
      </c>
    </row>
    <row r="22" spans="1:5" ht="12.75">
      <c r="A22" s="2">
        <v>13</v>
      </c>
      <c r="B22">
        <f t="shared" si="1"/>
        <v>1</v>
      </c>
      <c r="C22">
        <f t="shared" si="2"/>
        <v>9</v>
      </c>
      <c r="D22">
        <f t="shared" si="3"/>
        <v>20</v>
      </c>
      <c r="E22">
        <f t="shared" si="0"/>
        <v>0.04814814814814814</v>
      </c>
    </row>
    <row r="23" spans="1:5" ht="12.75">
      <c r="A23" s="2">
        <v>14</v>
      </c>
      <c r="B23">
        <f t="shared" si="1"/>
        <v>1</v>
      </c>
      <c r="C23">
        <f t="shared" si="2"/>
        <v>14</v>
      </c>
      <c r="D23">
        <f t="shared" si="3"/>
        <v>40</v>
      </c>
      <c r="E23">
        <f t="shared" si="0"/>
        <v>0.05185185185185185</v>
      </c>
    </row>
    <row r="24" spans="1:5" ht="12.75">
      <c r="A24" s="2">
        <v>15</v>
      </c>
      <c r="B24">
        <f t="shared" si="1"/>
        <v>1</v>
      </c>
      <c r="C24">
        <f t="shared" si="2"/>
        <v>20</v>
      </c>
      <c r="D24">
        <f t="shared" si="3"/>
        <v>0</v>
      </c>
      <c r="E24">
        <f t="shared" si="0"/>
        <v>0.05555555555555555</v>
      </c>
    </row>
    <row r="25" spans="1:5" ht="12.75">
      <c r="A25" s="2">
        <v>16</v>
      </c>
      <c r="B25">
        <f t="shared" si="1"/>
        <v>1</v>
      </c>
      <c r="C25">
        <f t="shared" si="2"/>
        <v>25</v>
      </c>
      <c r="D25">
        <f t="shared" si="3"/>
        <v>20</v>
      </c>
      <c r="E25">
        <f t="shared" si="0"/>
        <v>0.059259259259259255</v>
      </c>
    </row>
    <row r="26" spans="1:5" ht="12.75">
      <c r="A26" s="2">
        <v>17</v>
      </c>
      <c r="B26">
        <f t="shared" si="1"/>
        <v>1</v>
      </c>
      <c r="C26">
        <f t="shared" si="2"/>
        <v>30</v>
      </c>
      <c r="D26">
        <f t="shared" si="3"/>
        <v>40</v>
      </c>
      <c r="E26">
        <f t="shared" si="0"/>
        <v>0.06296296296296296</v>
      </c>
    </row>
    <row r="27" spans="1:5" ht="12.75">
      <c r="A27" s="2">
        <v>18</v>
      </c>
      <c r="B27">
        <f t="shared" si="1"/>
        <v>1</v>
      </c>
      <c r="C27">
        <f t="shared" si="2"/>
        <v>36</v>
      </c>
      <c r="D27">
        <f t="shared" si="3"/>
        <v>0</v>
      </c>
      <c r="E27">
        <f t="shared" si="0"/>
        <v>0.06666666666666667</v>
      </c>
    </row>
    <row r="28" spans="1:5" ht="12.75">
      <c r="A28" s="2">
        <v>19</v>
      </c>
      <c r="B28">
        <f t="shared" si="1"/>
        <v>1</v>
      </c>
      <c r="C28">
        <f t="shared" si="2"/>
        <v>41</v>
      </c>
      <c r="D28">
        <f t="shared" si="3"/>
        <v>20</v>
      </c>
      <c r="E28">
        <f t="shared" si="0"/>
        <v>0.07037037037037036</v>
      </c>
    </row>
    <row r="29" spans="1:5" ht="12.75">
      <c r="A29" s="2">
        <v>20</v>
      </c>
      <c r="B29">
        <f t="shared" si="1"/>
        <v>1</v>
      </c>
      <c r="C29">
        <f t="shared" si="2"/>
        <v>46</v>
      </c>
      <c r="D29">
        <f t="shared" si="3"/>
        <v>40</v>
      </c>
      <c r="E29">
        <f t="shared" si="0"/>
        <v>0.07407407407407407</v>
      </c>
    </row>
    <row r="30" spans="1:5" ht="12.75">
      <c r="A30" s="2">
        <v>21</v>
      </c>
      <c r="B30">
        <f>HOUR(E30)</f>
        <v>1</v>
      </c>
      <c r="C30">
        <f>MINUTE(E30)</f>
        <v>52</v>
      </c>
      <c r="D30">
        <f>SECOND(E30)</f>
        <v>0</v>
      </c>
      <c r="E30">
        <f>$E$9*A30</f>
        <v>0.07777777777777777</v>
      </c>
    </row>
    <row r="31" spans="1:5" ht="12.75">
      <c r="A31" s="2">
        <v>22</v>
      </c>
      <c r="B31">
        <f>HOUR(E31)</f>
        <v>1</v>
      </c>
      <c r="C31">
        <f>MINUTE(E31)</f>
        <v>57</v>
      </c>
      <c r="D31">
        <f>SECOND(E31)</f>
        <v>20</v>
      </c>
      <c r="E31">
        <f>$E$9*A31</f>
        <v>0.08148148148148147</v>
      </c>
    </row>
  </sheetData>
  <sheetProtection password="CA4B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11.421875" defaultRowHeight="12.75"/>
  <cols>
    <col min="1" max="1" width="99.28125" style="0" customWidth="1"/>
  </cols>
  <sheetData>
    <row r="1" ht="12.75">
      <c r="A1" t="s">
        <v>146</v>
      </c>
    </row>
    <row r="2" ht="61.5" customHeight="1">
      <c r="A2" s="96" t="s">
        <v>148</v>
      </c>
    </row>
    <row r="3" ht="38.25">
      <c r="A3" s="96" t="s">
        <v>149</v>
      </c>
    </row>
    <row r="4" ht="76.5">
      <c r="A4" s="96" t="s">
        <v>152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pane xSplit="2" ySplit="2" topLeftCell="C17" activePane="bottomRight" state="frozen"/>
      <selection pane="topLeft" activeCell="U36" sqref="U36"/>
      <selection pane="topRight" activeCell="U36" sqref="U36"/>
      <selection pane="bottomLeft" activeCell="U36" sqref="U36"/>
      <selection pane="bottomRight" activeCell="H38" sqref="H38"/>
    </sheetView>
  </sheetViews>
  <sheetFormatPr defaultColWidth="11.421875" defaultRowHeight="12.75"/>
  <cols>
    <col min="1" max="1" width="4.57421875" style="0" hidden="1" customWidth="1"/>
    <col min="2" max="2" width="5.00390625" style="40" bestFit="1" customWidth="1"/>
    <col min="3" max="3" width="2.28125" style="1" bestFit="1" customWidth="1"/>
    <col min="4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00390625" style="22" bestFit="1" customWidth="1"/>
    <col min="16" max="16" width="5.00390625" style="22" customWidth="1"/>
    <col min="17" max="17" width="5.00390625" style="2" customWidth="1"/>
    <col min="18" max="18" width="5.7109375" style="59" bestFit="1" customWidth="1"/>
    <col min="19" max="19" width="17.140625" style="0" bestFit="1" customWidth="1"/>
    <col min="20" max="16384" width="2.8515625" style="0" customWidth="1"/>
  </cols>
  <sheetData>
    <row r="1" spans="2:19" ht="13.5" thickBot="1">
      <c r="B1" s="39"/>
      <c r="C1" s="117" t="s">
        <v>0</v>
      </c>
      <c r="D1" s="118"/>
      <c r="E1" s="119"/>
      <c r="F1" s="3"/>
      <c r="G1" s="3"/>
      <c r="H1" s="18"/>
      <c r="I1" s="4"/>
      <c r="J1" s="45"/>
      <c r="K1" s="120" t="s">
        <v>9</v>
      </c>
      <c r="L1" s="121"/>
      <c r="M1" s="122"/>
      <c r="N1" s="19" t="s">
        <v>14</v>
      </c>
      <c r="O1" s="19"/>
      <c r="P1" s="19"/>
      <c r="Q1" s="110"/>
      <c r="R1" s="56"/>
      <c r="S1" s="6"/>
    </row>
    <row r="2" spans="2:19" ht="26.25" thickBot="1">
      <c r="B2" s="24" t="s">
        <v>58</v>
      </c>
      <c r="C2" s="10" t="s">
        <v>7</v>
      </c>
      <c r="D2" s="10" t="s">
        <v>8</v>
      </c>
      <c r="E2" s="10" t="s">
        <v>6</v>
      </c>
      <c r="F2" s="5" t="s">
        <v>4</v>
      </c>
      <c r="G2" s="43" t="s">
        <v>59</v>
      </c>
      <c r="H2" s="44" t="s">
        <v>61</v>
      </c>
      <c r="I2" s="5" t="s">
        <v>5</v>
      </c>
      <c r="J2" s="46" t="s">
        <v>2</v>
      </c>
      <c r="K2" s="11" t="s">
        <v>7</v>
      </c>
      <c r="L2" s="12" t="s">
        <v>8</v>
      </c>
      <c r="M2" s="12" t="s">
        <v>6</v>
      </c>
      <c r="N2" s="20"/>
      <c r="O2" s="55" t="s">
        <v>62</v>
      </c>
      <c r="P2" s="55" t="s">
        <v>63</v>
      </c>
      <c r="Q2" s="44" t="s">
        <v>107</v>
      </c>
      <c r="R2" s="57" t="s">
        <v>74</v>
      </c>
      <c r="S2" s="7" t="s">
        <v>10</v>
      </c>
    </row>
    <row r="3" spans="1:19" ht="12.75">
      <c r="A3" t="s">
        <v>66</v>
      </c>
      <c r="B3" s="42" t="s">
        <v>27</v>
      </c>
      <c r="C3" s="50"/>
      <c r="D3" s="50"/>
      <c r="E3" s="50"/>
      <c r="F3" s="51">
        <f aca="true" t="shared" si="0" ref="F3:F15">IF(G3="x",TIME(C3,D3,E3),"")</f>
      </c>
      <c r="G3" s="52"/>
      <c r="H3" s="51"/>
      <c r="I3" s="51">
        <f aca="true" t="shared" si="1" ref="I3:I33">IF(G3="x",F3*1000/H3,"")</f>
      </c>
      <c r="J3" s="53"/>
      <c r="K3" s="9">
        <f aca="true" t="shared" si="2" ref="K3:K14">IF(G3="x",HOUR(I3),"")</f>
      </c>
      <c r="L3" s="8">
        <f aca="true" t="shared" si="3" ref="L3:L14">IF(G3="x",MINUTE(I3),"")</f>
      </c>
      <c r="M3" s="9">
        <f aca="true" t="shared" si="4" ref="M3:M14">IF(G3="x",SECOND(I3),"")</f>
      </c>
      <c r="N3" s="21">
        <f>IF(G3="x",(Sommaire!$B$5*H3/F3)/1000,"")</f>
      </c>
      <c r="O3" s="47"/>
      <c r="P3" s="47"/>
      <c r="Q3" s="111"/>
      <c r="R3" s="58"/>
      <c r="S3" s="48"/>
    </row>
    <row r="4" spans="1:19" ht="12.75">
      <c r="A4" t="s">
        <v>66</v>
      </c>
      <c r="B4" s="42" t="s">
        <v>28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>IF(G4="x",(Sommaire!$B$5*H4/F4)/1000,"")</f>
      </c>
      <c r="O4" s="47"/>
      <c r="P4" s="47"/>
      <c r="Q4" s="111"/>
      <c r="R4" s="58"/>
      <c r="S4" s="49"/>
    </row>
    <row r="5" spans="1:19" ht="12.75">
      <c r="A5" t="s">
        <v>66</v>
      </c>
      <c r="B5" s="42" t="s">
        <v>29</v>
      </c>
      <c r="C5" s="54">
        <v>1</v>
      </c>
      <c r="D5" s="54">
        <v>11</v>
      </c>
      <c r="E5" s="54"/>
      <c r="F5" s="51">
        <f t="shared" si="0"/>
        <v>0.049305555555555554</v>
      </c>
      <c r="G5" s="52" t="s">
        <v>60</v>
      </c>
      <c r="H5" s="51">
        <v>12500</v>
      </c>
      <c r="I5" s="51">
        <f t="shared" si="1"/>
        <v>0.003944444444444445</v>
      </c>
      <c r="J5" s="53" t="s">
        <v>3</v>
      </c>
      <c r="K5" s="9">
        <f t="shared" si="2"/>
        <v>0</v>
      </c>
      <c r="L5" s="8">
        <f t="shared" si="3"/>
        <v>5</v>
      </c>
      <c r="M5" s="9">
        <f t="shared" si="4"/>
        <v>41</v>
      </c>
      <c r="N5" s="21">
        <f>IF(G5="x",(Sommaire!$B$5*H5/F5)/1000,"")</f>
        <v>10.563380281690138</v>
      </c>
      <c r="O5" s="47"/>
      <c r="P5" s="47"/>
      <c r="Q5" s="111">
        <v>1</v>
      </c>
      <c r="R5" s="58"/>
      <c r="S5" s="49"/>
    </row>
    <row r="6" spans="1:19" ht="12.75">
      <c r="A6" t="s">
        <v>66</v>
      </c>
      <c r="B6" s="42" t="s">
        <v>30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>IF(G6="x",(Sommaire!$B$5*H6/F6)/1000,"")</f>
      </c>
      <c r="O6" s="47"/>
      <c r="P6" s="47"/>
      <c r="Q6" s="111"/>
      <c r="R6" s="58"/>
      <c r="S6" s="49"/>
    </row>
    <row r="7" spans="1:19" ht="12.75">
      <c r="A7" t="s">
        <v>66</v>
      </c>
      <c r="B7" s="42" t="s">
        <v>31</v>
      </c>
      <c r="C7" s="54"/>
      <c r="D7" s="54">
        <v>50</v>
      </c>
      <c r="E7" s="54">
        <v>15</v>
      </c>
      <c r="F7" s="51">
        <f t="shared" si="0"/>
        <v>0.034895833333333334</v>
      </c>
      <c r="G7" s="52" t="s">
        <v>60</v>
      </c>
      <c r="H7" s="51">
        <v>8000</v>
      </c>
      <c r="I7" s="51">
        <f t="shared" si="1"/>
        <v>0.004361979166666667</v>
      </c>
      <c r="J7" s="53" t="s">
        <v>3</v>
      </c>
      <c r="K7" s="9">
        <f t="shared" si="2"/>
        <v>0</v>
      </c>
      <c r="L7" s="8">
        <f t="shared" si="3"/>
        <v>6</v>
      </c>
      <c r="M7" s="9">
        <f t="shared" si="4"/>
        <v>17</v>
      </c>
      <c r="N7" s="21">
        <f>IF(G7="x",(Sommaire!$B$5*H7/F7)/1000,"")</f>
        <v>9.552238805970148</v>
      </c>
      <c r="O7" s="47"/>
      <c r="P7" s="47"/>
      <c r="Q7" s="111">
        <v>1</v>
      </c>
      <c r="R7" s="58"/>
      <c r="S7" s="49"/>
    </row>
    <row r="8" spans="1:19" ht="12.75">
      <c r="A8" t="s">
        <v>66</v>
      </c>
      <c r="B8" s="42" t="s">
        <v>32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>IF(G8="x",(Sommaire!$B$5*H8/F8)/1000,"")</f>
      </c>
      <c r="O8" s="47"/>
      <c r="P8" s="47"/>
      <c r="Q8" s="111"/>
      <c r="R8" s="58"/>
      <c r="S8" s="49"/>
    </row>
    <row r="9" spans="1:19" ht="12.75">
      <c r="A9" t="s">
        <v>66</v>
      </c>
      <c r="B9" s="42" t="s">
        <v>33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>IF(G9="x",(Sommaire!$B$5*H9/F9)/1000,"")</f>
      </c>
      <c r="O9" s="47"/>
      <c r="P9" s="47"/>
      <c r="Q9" s="111">
        <v>2</v>
      </c>
      <c r="R9" s="58"/>
      <c r="S9" s="49" t="s">
        <v>25</v>
      </c>
    </row>
    <row r="10" spans="1:19" ht="12.75">
      <c r="A10" t="s">
        <v>66</v>
      </c>
      <c r="B10" s="42" t="s">
        <v>34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>IF(G10="x",(Sommaire!$B$5*H10/F10)/1000,"")</f>
      </c>
      <c r="O10" s="47"/>
      <c r="P10" s="47"/>
      <c r="Q10" s="111"/>
      <c r="R10" s="58"/>
      <c r="S10" s="49"/>
    </row>
    <row r="11" spans="1:19" ht="12.75">
      <c r="A11" t="s">
        <v>66</v>
      </c>
      <c r="B11" s="42" t="s">
        <v>35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>IF(G11="x",(Sommaire!$B$5*H11/F11)/1000,"")</f>
      </c>
      <c r="O11" s="47"/>
      <c r="P11" s="47"/>
      <c r="Q11" s="111" t="s">
        <v>108</v>
      </c>
      <c r="R11" s="58"/>
      <c r="S11" s="49" t="s">
        <v>26</v>
      </c>
    </row>
    <row r="12" spans="1:19" ht="12.75">
      <c r="A12" t="s">
        <v>66</v>
      </c>
      <c r="B12" s="42" t="s">
        <v>36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>IF(G12="x",(Sommaire!$B$5*H12/F12)/1000,"")</f>
      </c>
      <c r="O12" s="47"/>
      <c r="P12" s="47"/>
      <c r="Q12" s="111"/>
      <c r="R12" s="58"/>
      <c r="S12" s="49"/>
    </row>
    <row r="13" spans="1:19" ht="12.75">
      <c r="A13" t="s">
        <v>66</v>
      </c>
      <c r="B13" s="42" t="s">
        <v>37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>IF(G13="x",(Sommaire!$B$5*H13/F13)/1000,"")</f>
      </c>
      <c r="O13" s="47"/>
      <c r="P13" s="47"/>
      <c r="Q13" s="111"/>
      <c r="R13" s="58"/>
      <c r="S13" s="49"/>
    </row>
    <row r="14" spans="1:19" ht="12.75">
      <c r="A14" t="s">
        <v>66</v>
      </c>
      <c r="B14" s="42" t="s">
        <v>38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>IF(G14="x",(Sommaire!$B$5*H14/F14)/1000,"")</f>
      </c>
      <c r="O14" s="47"/>
      <c r="P14" s="47"/>
      <c r="Q14" s="111"/>
      <c r="R14" s="58"/>
      <c r="S14" s="49"/>
    </row>
    <row r="15" spans="1:19" ht="12.75">
      <c r="A15" t="s">
        <v>66</v>
      </c>
      <c r="B15" s="42" t="s">
        <v>39</v>
      </c>
      <c r="C15" s="54"/>
      <c r="D15" s="54">
        <v>52</v>
      </c>
      <c r="E15" s="54">
        <v>48</v>
      </c>
      <c r="F15" s="51">
        <f t="shared" si="0"/>
        <v>0.03666666666666667</v>
      </c>
      <c r="G15" s="52" t="s">
        <v>60</v>
      </c>
      <c r="H15" s="51">
        <v>8000</v>
      </c>
      <c r="I15" s="51">
        <f t="shared" si="1"/>
        <v>0.004583333333333333</v>
      </c>
      <c r="J15" s="53"/>
      <c r="K15" s="9">
        <f>IF(G15="x",HOUR(I15),"")</f>
        <v>0</v>
      </c>
      <c r="L15" s="8">
        <f>IF(G15="x",MINUTE(I15),"")</f>
        <v>6</v>
      </c>
      <c r="M15" s="9">
        <f>IF(G15="x",SECOND(I15),"")</f>
        <v>36</v>
      </c>
      <c r="N15" s="21">
        <f>IF(G15="x",(Sommaire!$B$5*H15/F15)/1000,"")</f>
        <v>9.09090909090909</v>
      </c>
      <c r="O15" s="47"/>
      <c r="P15" s="47"/>
      <c r="Q15" s="111">
        <v>1</v>
      </c>
      <c r="R15" s="58"/>
      <c r="S15" s="49"/>
    </row>
    <row r="16" spans="1:19" ht="12.75">
      <c r="A16" t="s">
        <v>66</v>
      </c>
      <c r="B16" s="42" t="s">
        <v>40</v>
      </c>
      <c r="C16" s="54"/>
      <c r="D16" s="54"/>
      <c r="E16" s="54"/>
      <c r="F16" s="51">
        <f>IF(G16="x",TIME(C16,D16,E16),"")</f>
      </c>
      <c r="G16" s="52"/>
      <c r="H16" s="51"/>
      <c r="I16" s="51">
        <f t="shared" si="1"/>
      </c>
      <c r="J16" s="53"/>
      <c r="K16" s="9">
        <f>IF(G16="x",HOUR(I16),"")</f>
      </c>
      <c r="L16" s="8">
        <f>IF(G16="x",MINUTE(I16),"")</f>
      </c>
      <c r="M16" s="9">
        <f>IF(G16="x",SECOND(I16),"")</f>
      </c>
      <c r="N16" s="21">
        <f>IF(G16="x",(Sommaire!$B$5*H16/F16)/1000,"")</f>
      </c>
      <c r="O16" s="47"/>
      <c r="P16" s="47"/>
      <c r="Q16" s="111"/>
      <c r="R16" s="58"/>
      <c r="S16" s="49" t="s">
        <v>25</v>
      </c>
    </row>
    <row r="17" spans="1:19" ht="12.75">
      <c r="A17" t="s">
        <v>66</v>
      </c>
      <c r="B17" s="42" t="s">
        <v>41</v>
      </c>
      <c r="C17" s="54"/>
      <c r="D17" s="54"/>
      <c r="E17" s="54"/>
      <c r="F17" s="51">
        <f aca="true" t="shared" si="5" ref="F17:F33">IF(G17="x",TIME(C17,D17,E17),"")</f>
      </c>
      <c r="G17" s="52"/>
      <c r="H17" s="51"/>
      <c r="I17" s="51">
        <f t="shared" si="1"/>
      </c>
      <c r="J17" s="53"/>
      <c r="K17" s="9">
        <f aca="true" t="shared" si="6" ref="K17:K33">IF(G17="x",HOUR(I17),"")</f>
      </c>
      <c r="L17" s="8">
        <f aca="true" t="shared" si="7" ref="L17:L33">IF(G17="x",MINUTE(I17),"")</f>
      </c>
      <c r="M17" s="9">
        <f aca="true" t="shared" si="8" ref="M17:M33">IF(G17="x",SECOND(I17),"")</f>
      </c>
      <c r="N17" s="21">
        <f>IF(G17="x",(Sommaire!$B$5*H17/F17)/1000,"")</f>
      </c>
      <c r="O17" s="47"/>
      <c r="P17" s="47"/>
      <c r="Q17" s="111"/>
      <c r="R17" s="58">
        <v>500</v>
      </c>
      <c r="S17" s="49" t="s">
        <v>75</v>
      </c>
    </row>
    <row r="18" spans="1:19" ht="12.75">
      <c r="A18" t="s">
        <v>66</v>
      </c>
      <c r="B18" s="42" t="s">
        <v>42</v>
      </c>
      <c r="C18" s="54"/>
      <c r="D18" s="54"/>
      <c r="E18" s="54"/>
      <c r="F18" s="51">
        <f t="shared" si="5"/>
      </c>
      <c r="G18" s="52"/>
      <c r="H18" s="51"/>
      <c r="I18" s="51">
        <f t="shared" si="1"/>
      </c>
      <c r="J18" s="53"/>
      <c r="K18" s="9">
        <f t="shared" si="6"/>
      </c>
      <c r="L18" s="8">
        <f t="shared" si="7"/>
      </c>
      <c r="M18" s="9">
        <f t="shared" si="8"/>
      </c>
      <c r="N18" s="21">
        <f>IF(G18="x",(Sommaire!$B$5*H18/F18)/1000,"")</f>
      </c>
      <c r="O18" s="47"/>
      <c r="P18" s="47"/>
      <c r="Q18" s="111" t="s">
        <v>108</v>
      </c>
      <c r="R18" s="58"/>
      <c r="S18" s="49" t="s">
        <v>26</v>
      </c>
    </row>
    <row r="19" spans="1:19" ht="12.75">
      <c r="A19" t="s">
        <v>66</v>
      </c>
      <c r="B19" s="42" t="s">
        <v>43</v>
      </c>
      <c r="C19" s="54"/>
      <c r="D19" s="54"/>
      <c r="E19" s="54"/>
      <c r="F19" s="51">
        <f t="shared" si="5"/>
      </c>
      <c r="G19" s="52"/>
      <c r="H19" s="51"/>
      <c r="I19" s="51">
        <f t="shared" si="1"/>
      </c>
      <c r="J19" s="53"/>
      <c r="K19" s="9">
        <f t="shared" si="6"/>
      </c>
      <c r="L19" s="8">
        <f t="shared" si="7"/>
      </c>
      <c r="M19" s="9">
        <f t="shared" si="8"/>
      </c>
      <c r="N19" s="21">
        <f>IF(G19="x",(Sommaire!$B$5*H19/F19)/1000,"")</f>
      </c>
      <c r="O19" s="47"/>
      <c r="P19" s="47"/>
      <c r="Q19" s="111"/>
      <c r="R19" s="58"/>
      <c r="S19" s="49"/>
    </row>
    <row r="20" spans="1:19" ht="12.75">
      <c r="A20" t="s">
        <v>66</v>
      </c>
      <c r="B20" s="42" t="s">
        <v>44</v>
      </c>
      <c r="C20" s="54"/>
      <c r="D20" s="54"/>
      <c r="E20" s="54"/>
      <c r="F20" s="51">
        <f t="shared" si="5"/>
      </c>
      <c r="G20" s="52"/>
      <c r="H20" s="51"/>
      <c r="I20" s="51">
        <f t="shared" si="1"/>
      </c>
      <c r="J20" s="53"/>
      <c r="K20" s="9">
        <f t="shared" si="6"/>
      </c>
      <c r="L20" s="8">
        <f t="shared" si="7"/>
      </c>
      <c r="M20" s="9">
        <f t="shared" si="8"/>
      </c>
      <c r="N20" s="21">
        <f>IF(G20="x",(Sommaire!$B$5*H20/F20)/1000,"")</f>
      </c>
      <c r="O20" s="47"/>
      <c r="P20" s="47"/>
      <c r="Q20" s="111"/>
      <c r="R20" s="58"/>
      <c r="S20" s="49"/>
    </row>
    <row r="21" spans="1:19" ht="12.75">
      <c r="A21" t="s">
        <v>66</v>
      </c>
      <c r="B21" s="42" t="s">
        <v>45</v>
      </c>
      <c r="C21" s="54"/>
      <c r="D21" s="54">
        <v>56</v>
      </c>
      <c r="E21" s="54"/>
      <c r="F21" s="51">
        <f t="shared" si="5"/>
        <v>0.03888888888888889</v>
      </c>
      <c r="G21" s="52" t="s">
        <v>60</v>
      </c>
      <c r="H21" s="51">
        <v>9500</v>
      </c>
      <c r="I21" s="51">
        <f t="shared" si="1"/>
        <v>0.004093567251461989</v>
      </c>
      <c r="J21" s="53"/>
      <c r="K21" s="9">
        <f t="shared" si="6"/>
        <v>0</v>
      </c>
      <c r="L21" s="8">
        <f t="shared" si="7"/>
        <v>5</v>
      </c>
      <c r="M21" s="9">
        <f t="shared" si="8"/>
        <v>54</v>
      </c>
      <c r="N21" s="21">
        <f>IF(G21="x",(Sommaire!$B$5*H21/F21)/1000,"")</f>
        <v>10.178571428571427</v>
      </c>
      <c r="O21" s="47"/>
      <c r="P21" s="47"/>
      <c r="Q21" s="111">
        <v>1</v>
      </c>
      <c r="R21" s="58"/>
      <c r="S21" s="49"/>
    </row>
    <row r="22" spans="1:19" ht="12.75">
      <c r="A22" t="s">
        <v>66</v>
      </c>
      <c r="B22" s="42" t="s">
        <v>46</v>
      </c>
      <c r="C22" s="54"/>
      <c r="D22" s="54"/>
      <c r="E22" s="54"/>
      <c r="F22" s="51">
        <f t="shared" si="5"/>
      </c>
      <c r="G22" s="52"/>
      <c r="H22" s="51"/>
      <c r="I22" s="51">
        <f t="shared" si="1"/>
      </c>
      <c r="J22" s="53"/>
      <c r="K22" s="9">
        <f t="shared" si="6"/>
      </c>
      <c r="L22" s="8">
        <f t="shared" si="7"/>
      </c>
      <c r="M22" s="9">
        <f t="shared" si="8"/>
      </c>
      <c r="N22" s="21">
        <f>IF(G22="x",(Sommaire!$B$5*H22/F22)/1000,"")</f>
      </c>
      <c r="O22" s="47"/>
      <c r="P22" s="47"/>
      <c r="Q22" s="111"/>
      <c r="R22" s="58"/>
      <c r="S22" s="49"/>
    </row>
    <row r="23" spans="1:19" ht="12.75">
      <c r="A23" t="s">
        <v>66</v>
      </c>
      <c r="B23" s="42" t="s">
        <v>47</v>
      </c>
      <c r="C23" s="54"/>
      <c r="D23" s="54"/>
      <c r="E23" s="54"/>
      <c r="F23" s="51">
        <f t="shared" si="5"/>
      </c>
      <c r="G23" s="52"/>
      <c r="H23" s="51"/>
      <c r="I23" s="51">
        <f t="shared" si="1"/>
      </c>
      <c r="J23" s="53"/>
      <c r="K23" s="9">
        <f t="shared" si="6"/>
      </c>
      <c r="L23" s="8">
        <f t="shared" si="7"/>
      </c>
      <c r="M23" s="9">
        <f t="shared" si="8"/>
      </c>
      <c r="N23" s="21">
        <f>IF(G23="x",(Sommaire!$B$5*H23/F23)/1000,"")</f>
      </c>
      <c r="O23" s="47"/>
      <c r="P23" s="47"/>
      <c r="Q23" s="111">
        <v>2</v>
      </c>
      <c r="R23" s="58"/>
      <c r="S23" s="49" t="s">
        <v>25</v>
      </c>
    </row>
    <row r="24" spans="1:19" ht="12.75">
      <c r="A24" t="s">
        <v>66</v>
      </c>
      <c r="B24" s="42" t="s">
        <v>48</v>
      </c>
      <c r="C24" s="54"/>
      <c r="D24" s="54"/>
      <c r="E24" s="54"/>
      <c r="F24" s="51">
        <f t="shared" si="5"/>
      </c>
      <c r="G24" s="52"/>
      <c r="H24" s="51"/>
      <c r="I24" s="51">
        <f t="shared" si="1"/>
      </c>
      <c r="J24" s="53"/>
      <c r="K24" s="9">
        <f t="shared" si="6"/>
      </c>
      <c r="L24" s="8">
        <f t="shared" si="7"/>
      </c>
      <c r="M24" s="9">
        <f t="shared" si="8"/>
      </c>
      <c r="N24" s="21">
        <f>IF(G24="x",(Sommaire!$B$5*H24/F24)/1000,"")</f>
      </c>
      <c r="O24" s="47"/>
      <c r="P24" s="47"/>
      <c r="Q24" s="111"/>
      <c r="R24" s="58"/>
      <c r="S24" s="49"/>
    </row>
    <row r="25" spans="1:19" ht="12.75">
      <c r="A25" t="s">
        <v>66</v>
      </c>
      <c r="B25" s="42" t="s">
        <v>49</v>
      </c>
      <c r="C25" s="54"/>
      <c r="D25" s="54"/>
      <c r="E25" s="54"/>
      <c r="F25" s="51">
        <f t="shared" si="5"/>
      </c>
      <c r="G25" s="52"/>
      <c r="H25" s="51"/>
      <c r="I25" s="51">
        <f t="shared" si="1"/>
      </c>
      <c r="J25" s="53"/>
      <c r="K25" s="9">
        <f t="shared" si="6"/>
      </c>
      <c r="L25" s="8">
        <f t="shared" si="7"/>
      </c>
      <c r="M25" s="9">
        <f t="shared" si="8"/>
      </c>
      <c r="N25" s="21">
        <f>IF(G25="x",(Sommaire!$B$5*H25/F25)/1000,"")</f>
      </c>
      <c r="O25" s="47"/>
      <c r="P25" s="47"/>
      <c r="Q25" s="111" t="s">
        <v>108</v>
      </c>
      <c r="R25" s="58"/>
      <c r="S25" s="49" t="s">
        <v>26</v>
      </c>
    </row>
    <row r="26" spans="1:19" ht="12.75">
      <c r="A26" t="s">
        <v>66</v>
      </c>
      <c r="B26" s="42" t="s">
        <v>50</v>
      </c>
      <c r="C26" s="54"/>
      <c r="D26" s="54">
        <v>47</v>
      </c>
      <c r="E26" s="54"/>
      <c r="F26" s="51">
        <f t="shared" si="5"/>
        <v>0.03263888888888889</v>
      </c>
      <c r="G26" s="52" t="s">
        <v>60</v>
      </c>
      <c r="H26" s="51">
        <v>8000</v>
      </c>
      <c r="I26" s="51">
        <f t="shared" si="1"/>
        <v>0.004079861111111111</v>
      </c>
      <c r="J26" s="53"/>
      <c r="K26" s="9">
        <f t="shared" si="6"/>
        <v>0</v>
      </c>
      <c r="L26" s="8">
        <f t="shared" si="7"/>
        <v>5</v>
      </c>
      <c r="M26" s="9">
        <f t="shared" si="8"/>
        <v>53</v>
      </c>
      <c r="N26" s="21">
        <f>IF(G26="x",(Sommaire!$B$5*H26/F26)/1000,"")</f>
        <v>10.212765957446807</v>
      </c>
      <c r="O26" s="47"/>
      <c r="P26" s="47"/>
      <c r="Q26" s="111">
        <v>1</v>
      </c>
      <c r="R26" s="58"/>
      <c r="S26" s="49"/>
    </row>
    <row r="27" spans="1:19" ht="12.75">
      <c r="A27" t="s">
        <v>66</v>
      </c>
      <c r="B27" s="42" t="s">
        <v>51</v>
      </c>
      <c r="C27" s="54"/>
      <c r="D27" s="54"/>
      <c r="E27" s="54"/>
      <c r="F27" s="51">
        <f t="shared" si="5"/>
      </c>
      <c r="G27" s="52"/>
      <c r="H27" s="51"/>
      <c r="I27" s="51">
        <f t="shared" si="1"/>
      </c>
      <c r="J27" s="53"/>
      <c r="K27" s="9">
        <f t="shared" si="6"/>
      </c>
      <c r="L27" s="8">
        <f t="shared" si="7"/>
      </c>
      <c r="M27" s="9">
        <f t="shared" si="8"/>
      </c>
      <c r="N27" s="21">
        <f>IF(G27="x",(Sommaire!$B$5*H27/F27)/1000,"")</f>
      </c>
      <c r="O27" s="47"/>
      <c r="P27" s="47"/>
      <c r="Q27" s="111"/>
      <c r="R27" s="58"/>
      <c r="S27" s="49"/>
    </row>
    <row r="28" spans="1:19" ht="12.75">
      <c r="A28" t="s">
        <v>66</v>
      </c>
      <c r="B28" s="42" t="s">
        <v>52</v>
      </c>
      <c r="C28" s="54"/>
      <c r="D28" s="54">
        <v>43</v>
      </c>
      <c r="E28" s="54"/>
      <c r="F28" s="51">
        <f t="shared" si="5"/>
        <v>0.029861111111111113</v>
      </c>
      <c r="G28" s="52" t="s">
        <v>60</v>
      </c>
      <c r="H28" s="51">
        <v>7000</v>
      </c>
      <c r="I28" s="51">
        <f t="shared" si="1"/>
        <v>0.004265873015873016</v>
      </c>
      <c r="J28" s="53"/>
      <c r="K28" s="9">
        <f t="shared" si="6"/>
        <v>0</v>
      </c>
      <c r="L28" s="8">
        <f t="shared" si="7"/>
        <v>6</v>
      </c>
      <c r="M28" s="9">
        <f t="shared" si="8"/>
        <v>9</v>
      </c>
      <c r="N28" s="21">
        <f>IF(G28="x",(Sommaire!$B$5*H28/F28)/1000,"")</f>
        <v>9.767441860465114</v>
      </c>
      <c r="O28" s="47"/>
      <c r="P28" s="47"/>
      <c r="Q28" s="111">
        <v>1</v>
      </c>
      <c r="R28" s="58"/>
      <c r="S28" s="49"/>
    </row>
    <row r="29" spans="1:19" ht="12.75">
      <c r="A29" t="s">
        <v>66</v>
      </c>
      <c r="B29" s="42" t="s">
        <v>53</v>
      </c>
      <c r="C29" s="54"/>
      <c r="D29" s="54"/>
      <c r="E29" s="54"/>
      <c r="F29" s="51">
        <f t="shared" si="5"/>
      </c>
      <c r="G29" s="52"/>
      <c r="H29" s="51"/>
      <c r="I29" s="51">
        <f t="shared" si="1"/>
      </c>
      <c r="J29" s="53"/>
      <c r="K29" s="9">
        <f t="shared" si="6"/>
      </c>
      <c r="L29" s="8">
        <f t="shared" si="7"/>
      </c>
      <c r="M29" s="9">
        <f t="shared" si="8"/>
      </c>
      <c r="N29" s="21">
        <f>IF(G29="x",(Sommaire!$B$5*H29/F29)/1000,"")</f>
      </c>
      <c r="O29" s="47"/>
      <c r="P29" s="47"/>
      <c r="Q29" s="111"/>
      <c r="R29" s="58"/>
      <c r="S29" s="49"/>
    </row>
    <row r="30" spans="1:19" ht="12.75">
      <c r="A30" t="s">
        <v>66</v>
      </c>
      <c r="B30" s="42" t="s">
        <v>54</v>
      </c>
      <c r="C30" s="54"/>
      <c r="D30" s="54">
        <v>55</v>
      </c>
      <c r="E30" s="54"/>
      <c r="F30" s="51">
        <f t="shared" si="5"/>
        <v>0.03819444444444444</v>
      </c>
      <c r="G30" s="52" t="s">
        <v>60</v>
      </c>
      <c r="H30" s="51">
        <v>9500</v>
      </c>
      <c r="I30" s="51">
        <f t="shared" si="1"/>
        <v>0.00402046783625731</v>
      </c>
      <c r="J30" s="53"/>
      <c r="K30" s="9">
        <f t="shared" si="6"/>
        <v>0</v>
      </c>
      <c r="L30" s="8">
        <f t="shared" si="7"/>
        <v>5</v>
      </c>
      <c r="M30" s="9">
        <f t="shared" si="8"/>
        <v>47</v>
      </c>
      <c r="N30" s="21">
        <f>IF(G30="x",(Sommaire!$B$5*H30/F30)/1000,"")</f>
        <v>10.363636363636363</v>
      </c>
      <c r="O30" s="47"/>
      <c r="P30" s="47"/>
      <c r="Q30" s="111">
        <v>1</v>
      </c>
      <c r="R30" s="58"/>
      <c r="S30" s="49"/>
    </row>
    <row r="31" spans="1:19" ht="12.75">
      <c r="A31" t="s">
        <v>66</v>
      </c>
      <c r="B31" s="42" t="s">
        <v>55</v>
      </c>
      <c r="C31" s="54"/>
      <c r="D31" s="54">
        <v>54</v>
      </c>
      <c r="E31" s="54"/>
      <c r="F31" s="51">
        <f t="shared" si="5"/>
        <v>0.0375</v>
      </c>
      <c r="G31" s="52" t="s">
        <v>60</v>
      </c>
      <c r="H31" s="51">
        <v>9000</v>
      </c>
      <c r="I31" s="51">
        <f t="shared" si="1"/>
        <v>0.004166666666666667</v>
      </c>
      <c r="J31" s="53"/>
      <c r="K31" s="9">
        <f t="shared" si="6"/>
        <v>0</v>
      </c>
      <c r="L31" s="8">
        <f t="shared" si="7"/>
        <v>6</v>
      </c>
      <c r="M31" s="9">
        <f t="shared" si="8"/>
        <v>0</v>
      </c>
      <c r="N31" s="21">
        <f>IF(G31="x",(Sommaire!$B$5*H31/F31)/1000,"")</f>
        <v>10</v>
      </c>
      <c r="O31" s="47"/>
      <c r="P31" s="47"/>
      <c r="Q31" s="111">
        <v>1</v>
      </c>
      <c r="R31" s="58"/>
      <c r="S31" s="49"/>
    </row>
    <row r="32" spans="1:19" ht="12.75">
      <c r="A32" t="s">
        <v>66</v>
      </c>
      <c r="B32" s="42" t="s">
        <v>56</v>
      </c>
      <c r="C32" s="54"/>
      <c r="D32" s="54"/>
      <c r="E32" s="54"/>
      <c r="F32" s="51">
        <f t="shared" si="5"/>
      </c>
      <c r="G32" s="52"/>
      <c r="H32" s="51"/>
      <c r="I32" s="51">
        <f t="shared" si="1"/>
      </c>
      <c r="J32" s="53"/>
      <c r="K32" s="9">
        <f t="shared" si="6"/>
      </c>
      <c r="L32" s="8">
        <f t="shared" si="7"/>
      </c>
      <c r="M32" s="9">
        <f t="shared" si="8"/>
      </c>
      <c r="N32" s="21">
        <f>IF(G32="x",(Sommaire!$B$5*H32/F32)/1000,"")</f>
      </c>
      <c r="O32" s="47"/>
      <c r="P32" s="47"/>
      <c r="Q32" s="111"/>
      <c r="R32" s="58"/>
      <c r="S32" s="49"/>
    </row>
    <row r="33" spans="1:19" ht="12.75">
      <c r="A33" t="s">
        <v>66</v>
      </c>
      <c r="B33" s="42" t="s">
        <v>57</v>
      </c>
      <c r="C33" s="54">
        <v>2</v>
      </c>
      <c r="D33" s="54">
        <v>0</v>
      </c>
      <c r="E33" s="54"/>
      <c r="F33" s="51">
        <f t="shared" si="5"/>
      </c>
      <c r="G33" s="52"/>
      <c r="H33" s="51">
        <v>25000</v>
      </c>
      <c r="I33" s="51">
        <f t="shared" si="1"/>
      </c>
      <c r="J33" s="53"/>
      <c r="K33" s="9">
        <f t="shared" si="6"/>
      </c>
      <c r="L33" s="8">
        <f t="shared" si="7"/>
      </c>
      <c r="M33" s="9">
        <f t="shared" si="8"/>
      </c>
      <c r="N33" s="21">
        <f>IF(G33="x",(Sommaire!$B$5*H33/F33)/1000,"")</f>
      </c>
      <c r="O33" s="47"/>
      <c r="P33" s="47"/>
      <c r="Q33" s="111">
        <v>2</v>
      </c>
      <c r="R33" s="58"/>
      <c r="S33" s="49" t="s">
        <v>106</v>
      </c>
    </row>
    <row r="34" ht="13.5" thickBot="1"/>
    <row r="35" spans="2:19" ht="13.5" thickBot="1">
      <c r="B35" s="41" t="s">
        <v>24</v>
      </c>
      <c r="C35" s="16">
        <f>HOUR(F35)</f>
        <v>7</v>
      </c>
      <c r="D35" s="16">
        <f>MINUTE(F35)</f>
        <v>9</v>
      </c>
      <c r="E35" s="17">
        <f>SECOND(F35)</f>
        <v>3</v>
      </c>
      <c r="F35" s="2">
        <f>SUMIF($G$3:$G$33,"x",F3:F33)</f>
        <v>0.29795138888888884</v>
      </c>
      <c r="G35" s="29">
        <f>COUNTIF(G3:G33,"x")</f>
        <v>8</v>
      </c>
      <c r="H35" s="2">
        <f>SUMIF($G$3:$G$33,"x",H3:H33)</f>
        <v>71500</v>
      </c>
      <c r="I35" s="2">
        <f>AVERAGE(I3:I34)</f>
        <v>0.004189524103226818</v>
      </c>
      <c r="K35" s="13">
        <f>HOUR(I35)</f>
        <v>0</v>
      </c>
      <c r="L35" s="14">
        <f>MINUTE(I35)</f>
        <v>6</v>
      </c>
      <c r="M35" s="14">
        <f>SECOND(I35)</f>
        <v>2</v>
      </c>
      <c r="N35" s="23">
        <f>(Sommaire!$B$5*H35/F35)/1000</f>
        <v>9.998834634657968</v>
      </c>
      <c r="O35" s="23"/>
      <c r="P35" s="23"/>
      <c r="Q35" s="112"/>
      <c r="R35" s="60">
        <f>SUM(R17:R33)</f>
        <v>500</v>
      </c>
      <c r="S35" s="15" t="s">
        <v>11</v>
      </c>
    </row>
    <row r="36" spans="2:8" ht="12.75">
      <c r="B36" s="2">
        <v>1</v>
      </c>
      <c r="H36" s="2">
        <f>SUMIF($Q$3:$Q$33,B36,$H$3:$H$33)</f>
        <v>71500</v>
      </c>
    </row>
    <row r="37" spans="2:8" ht="12.75">
      <c r="B37" s="2">
        <v>2</v>
      </c>
      <c r="H37" s="2">
        <f>SUMIF($Q$3:$Q$33,B37,$H$3:$H$33)</f>
        <v>25000</v>
      </c>
    </row>
    <row r="38" spans="2:8" ht="12.75">
      <c r="B38" s="2">
        <v>3</v>
      </c>
      <c r="H38" s="2">
        <f>SUMIF($Q$3:$Q$33,B38,$H$3:$H$33)</f>
        <v>0</v>
      </c>
    </row>
    <row r="39" spans="2:8" ht="12.75">
      <c r="B39" s="2" t="s">
        <v>108</v>
      </c>
      <c r="H39" s="2">
        <f>SUMIF($Q$3:$Q$33,B39,$H$3:$H$33)</f>
        <v>0</v>
      </c>
    </row>
  </sheetData>
  <mergeCells count="2">
    <mergeCell ref="C1:E1"/>
    <mergeCell ref="K1:M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pane xSplit="2" ySplit="2" topLeftCell="C3" activePane="bottomRight" state="frozen"/>
      <selection pane="topLeft" activeCell="U36" sqref="U36"/>
      <selection pane="topRight" activeCell="U36" sqref="U36"/>
      <selection pane="bottomLeft" activeCell="U36" sqref="U36"/>
      <selection pane="bottomRight" activeCell="Q30" sqref="Q30"/>
    </sheetView>
  </sheetViews>
  <sheetFormatPr defaultColWidth="11.421875" defaultRowHeight="12.75"/>
  <cols>
    <col min="1" max="1" width="3.140625" style="0" bestFit="1" customWidth="1"/>
    <col min="2" max="2" width="5.00390625" style="40" bestFit="1" customWidth="1"/>
    <col min="3" max="3" width="2.28125" style="1" bestFit="1" customWidth="1"/>
    <col min="4" max="5" width="3.00390625" style="1" bestFit="1" customWidth="1"/>
    <col min="6" max="6" width="9.5742187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57421875" style="22" bestFit="1" customWidth="1"/>
    <col min="16" max="17" width="5.00390625" style="22" customWidth="1"/>
    <col min="18" max="18" width="4.8515625" style="59" bestFit="1" customWidth="1"/>
    <col min="19" max="19" width="11.7109375" style="0" bestFit="1" customWidth="1"/>
    <col min="20" max="20" width="12.00390625" style="1" hidden="1" customWidth="1"/>
    <col min="21" max="16384" width="2.8515625" style="0" customWidth="1"/>
  </cols>
  <sheetData>
    <row r="1" spans="2:20" ht="13.5" thickBot="1">
      <c r="B1" s="39"/>
      <c r="C1" s="117" t="s">
        <v>0</v>
      </c>
      <c r="D1" s="118"/>
      <c r="E1" s="119"/>
      <c r="F1" s="3"/>
      <c r="G1" s="3"/>
      <c r="H1" s="18"/>
      <c r="I1" s="4"/>
      <c r="J1" s="45"/>
      <c r="K1" s="120" t="s">
        <v>9</v>
      </c>
      <c r="L1" s="121"/>
      <c r="M1" s="122"/>
      <c r="N1" s="19" t="s">
        <v>14</v>
      </c>
      <c r="O1" s="19"/>
      <c r="P1" s="19"/>
      <c r="Q1" s="19"/>
      <c r="R1" s="56"/>
      <c r="S1" s="6"/>
      <c r="T1" s="1" t="s">
        <v>13</v>
      </c>
    </row>
    <row r="2" spans="2:20" ht="26.25" thickBot="1">
      <c r="B2" s="24" t="s">
        <v>58</v>
      </c>
      <c r="C2" s="10" t="s">
        <v>7</v>
      </c>
      <c r="D2" s="10" t="s">
        <v>8</v>
      </c>
      <c r="E2" s="10" t="s">
        <v>6</v>
      </c>
      <c r="F2" s="5" t="s">
        <v>4</v>
      </c>
      <c r="G2" s="43" t="s">
        <v>59</v>
      </c>
      <c r="H2" s="44" t="s">
        <v>61</v>
      </c>
      <c r="I2" s="5" t="s">
        <v>5</v>
      </c>
      <c r="J2" s="46" t="s">
        <v>2</v>
      </c>
      <c r="K2" s="11" t="s">
        <v>7</v>
      </c>
      <c r="L2" s="12" t="s">
        <v>8</v>
      </c>
      <c r="M2" s="12" t="s">
        <v>6</v>
      </c>
      <c r="N2" s="20"/>
      <c r="O2" s="55" t="s">
        <v>62</v>
      </c>
      <c r="P2" s="55" t="s">
        <v>63</v>
      </c>
      <c r="Q2" s="55" t="s">
        <v>107</v>
      </c>
      <c r="R2" s="57" t="s">
        <v>74</v>
      </c>
      <c r="S2" s="7" t="s">
        <v>10</v>
      </c>
      <c r="T2" s="2">
        <f>TIME(1,0,0)</f>
        <v>0.041666666666666664</v>
      </c>
    </row>
    <row r="3" spans="1:19" ht="12.75">
      <c r="A3" t="s">
        <v>81</v>
      </c>
      <c r="B3" s="42" t="s">
        <v>27</v>
      </c>
      <c r="C3" s="50"/>
      <c r="D3" s="50"/>
      <c r="E3" s="50"/>
      <c r="F3" s="51">
        <f aca="true" t="shared" si="0" ref="F3:F31">IF(G3="x",TIME(C3,D3,E3),"")</f>
      </c>
      <c r="G3" s="52"/>
      <c r="H3" s="51"/>
      <c r="I3" s="51">
        <f aca="true" t="shared" si="1" ref="I3:I31">IF(G3="x",F3*1000/H3,"")</f>
      </c>
      <c r="J3" s="53"/>
      <c r="K3" s="9">
        <f aca="true" t="shared" si="2" ref="K3:K31">IF(G3="x",HOUR(I3),"")</f>
      </c>
      <c r="L3" s="8">
        <f aca="true" t="shared" si="3" ref="L3:L31">IF(G3="x",MINUTE(I3),"")</f>
      </c>
      <c r="M3" s="9">
        <f aca="true" t="shared" si="4" ref="M3:M31">IF(G3="x",SECOND(I3),"")</f>
      </c>
      <c r="N3" s="21">
        <f aca="true" t="shared" si="5" ref="N3:N31">IF(G3="x",($T$2*H3/F3)/1000,"")</f>
      </c>
      <c r="O3" s="109"/>
      <c r="P3" s="109"/>
      <c r="Q3" s="109"/>
      <c r="R3" s="58"/>
      <c r="S3" s="48"/>
    </row>
    <row r="4" spans="1:19" ht="12.75">
      <c r="A4" t="s">
        <v>81</v>
      </c>
      <c r="B4" s="42" t="s">
        <v>28</v>
      </c>
      <c r="C4" s="54"/>
      <c r="D4" s="54">
        <v>37</v>
      </c>
      <c r="E4" s="54"/>
      <c r="F4" s="51">
        <f t="shared" si="0"/>
        <v>0.025694444444444447</v>
      </c>
      <c r="G4" s="52" t="s">
        <v>60</v>
      </c>
      <c r="H4" s="51">
        <v>6000</v>
      </c>
      <c r="I4" s="51">
        <f t="shared" si="1"/>
        <v>0.0042824074074074075</v>
      </c>
      <c r="J4" s="53"/>
      <c r="K4" s="9">
        <f t="shared" si="2"/>
        <v>0</v>
      </c>
      <c r="L4" s="8">
        <f t="shared" si="3"/>
        <v>6</v>
      </c>
      <c r="M4" s="9">
        <f t="shared" si="4"/>
        <v>10</v>
      </c>
      <c r="N4" s="21">
        <f t="shared" si="5"/>
        <v>9.729729729729728</v>
      </c>
      <c r="O4" s="109">
        <v>128</v>
      </c>
      <c r="P4" s="109">
        <v>130</v>
      </c>
      <c r="Q4" s="109">
        <v>1</v>
      </c>
      <c r="R4" s="58"/>
      <c r="S4" s="49"/>
    </row>
    <row r="5" spans="1:19" ht="12.75">
      <c r="A5" t="s">
        <v>81</v>
      </c>
      <c r="B5" s="42" t="s">
        <v>29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109"/>
      <c r="P5" s="109"/>
      <c r="Q5" s="109"/>
      <c r="R5" s="58"/>
      <c r="S5" s="49"/>
    </row>
    <row r="6" spans="1:19" ht="12.75">
      <c r="A6" t="s">
        <v>81</v>
      </c>
      <c r="B6" s="42" t="s">
        <v>30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109"/>
      <c r="P6" s="109"/>
      <c r="Q6" s="109"/>
      <c r="R6" s="58"/>
      <c r="S6" s="49"/>
    </row>
    <row r="7" spans="1:19" ht="12.75">
      <c r="A7" t="s">
        <v>81</v>
      </c>
      <c r="B7" s="42" t="s">
        <v>31</v>
      </c>
      <c r="C7" s="54">
        <v>1</v>
      </c>
      <c r="D7" s="54">
        <v>0</v>
      </c>
      <c r="E7" s="54">
        <v>0</v>
      </c>
      <c r="F7" s="51">
        <f t="shared" si="0"/>
        <v>0.041666666666666664</v>
      </c>
      <c r="G7" s="52" t="s">
        <v>60</v>
      </c>
      <c r="H7" s="51">
        <v>11000</v>
      </c>
      <c r="I7" s="51">
        <f t="shared" si="1"/>
        <v>0.0037878787878787876</v>
      </c>
      <c r="J7" s="53"/>
      <c r="K7" s="9">
        <f t="shared" si="2"/>
        <v>0</v>
      </c>
      <c r="L7" s="8">
        <f t="shared" si="3"/>
        <v>5</v>
      </c>
      <c r="M7" s="9">
        <f t="shared" si="4"/>
        <v>27</v>
      </c>
      <c r="N7" s="21">
        <f t="shared" si="5"/>
        <v>11</v>
      </c>
      <c r="O7" s="109">
        <v>127</v>
      </c>
      <c r="P7" s="109">
        <v>146</v>
      </c>
      <c r="Q7" s="109">
        <v>1</v>
      </c>
      <c r="R7" s="58"/>
      <c r="S7" s="49"/>
    </row>
    <row r="8" spans="1:19" ht="12.75">
      <c r="A8" t="s">
        <v>81</v>
      </c>
      <c r="B8" s="42" t="s">
        <v>32</v>
      </c>
      <c r="C8" s="54">
        <v>1</v>
      </c>
      <c r="D8" s="54">
        <v>22</v>
      </c>
      <c r="E8" s="54">
        <v>0</v>
      </c>
      <c r="F8" s="51">
        <f t="shared" si="0"/>
        <v>0.05694444444444444</v>
      </c>
      <c r="G8" s="52" t="s">
        <v>60</v>
      </c>
      <c r="H8" s="51">
        <v>14000</v>
      </c>
      <c r="I8" s="51">
        <f t="shared" si="1"/>
        <v>0.004067460317460318</v>
      </c>
      <c r="J8" s="53"/>
      <c r="K8" s="9">
        <f t="shared" si="2"/>
        <v>0</v>
      </c>
      <c r="L8" s="8">
        <f t="shared" si="3"/>
        <v>5</v>
      </c>
      <c r="M8" s="9">
        <f t="shared" si="4"/>
        <v>51</v>
      </c>
      <c r="N8" s="21">
        <f t="shared" si="5"/>
        <v>10.243902439024389</v>
      </c>
      <c r="O8" s="109">
        <v>127</v>
      </c>
      <c r="P8" s="109">
        <v>146</v>
      </c>
      <c r="Q8" s="109">
        <v>1</v>
      </c>
      <c r="R8" s="58"/>
      <c r="S8" s="49"/>
    </row>
    <row r="9" spans="1:19" ht="12.75">
      <c r="A9" t="s">
        <v>81</v>
      </c>
      <c r="B9" s="42" t="s">
        <v>33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109"/>
      <c r="P9" s="109"/>
      <c r="Q9" s="109"/>
      <c r="R9" s="58"/>
      <c r="S9" s="49"/>
    </row>
    <row r="10" spans="1:19" ht="12.75">
      <c r="A10" t="s">
        <v>81</v>
      </c>
      <c r="B10" s="42" t="s">
        <v>34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109"/>
      <c r="P10" s="109"/>
      <c r="Q10" s="109"/>
      <c r="R10" s="58"/>
      <c r="S10" s="49"/>
    </row>
    <row r="11" spans="1:19" ht="12.75">
      <c r="A11" t="s">
        <v>81</v>
      </c>
      <c r="B11" s="42" t="s">
        <v>35</v>
      </c>
      <c r="C11" s="54">
        <v>1</v>
      </c>
      <c r="D11" s="54">
        <v>3</v>
      </c>
      <c r="E11" s="54"/>
      <c r="F11" s="51">
        <f t="shared" si="0"/>
        <v>0.043750000000000004</v>
      </c>
      <c r="G11" s="52" t="s">
        <v>60</v>
      </c>
      <c r="H11" s="51">
        <v>11500</v>
      </c>
      <c r="I11" s="51">
        <f t="shared" si="1"/>
        <v>0.003804347826086957</v>
      </c>
      <c r="J11" s="53"/>
      <c r="K11" s="9">
        <f t="shared" si="2"/>
        <v>0</v>
      </c>
      <c r="L11" s="8">
        <f t="shared" si="3"/>
        <v>5</v>
      </c>
      <c r="M11" s="9">
        <f t="shared" si="4"/>
        <v>29</v>
      </c>
      <c r="N11" s="21">
        <f t="shared" si="5"/>
        <v>10.95238095238095</v>
      </c>
      <c r="O11" s="109">
        <v>127</v>
      </c>
      <c r="P11" s="109">
        <v>146</v>
      </c>
      <c r="Q11" s="109">
        <v>1</v>
      </c>
      <c r="R11" s="58"/>
      <c r="S11" s="49"/>
    </row>
    <row r="12" spans="1:19" ht="12.75">
      <c r="A12" t="s">
        <v>81</v>
      </c>
      <c r="B12" s="42" t="s">
        <v>36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109"/>
      <c r="P12" s="109"/>
      <c r="Q12" s="109"/>
      <c r="R12" s="58"/>
      <c r="S12" s="49"/>
    </row>
    <row r="13" spans="1:19" ht="12.75">
      <c r="A13" t="s">
        <v>81</v>
      </c>
      <c r="B13" s="42" t="s">
        <v>37</v>
      </c>
      <c r="C13" s="54">
        <v>1</v>
      </c>
      <c r="D13" s="54">
        <v>30</v>
      </c>
      <c r="E13" s="54"/>
      <c r="F13" s="51">
        <f t="shared" si="0"/>
        <v>0.0625</v>
      </c>
      <c r="G13" s="52" t="s">
        <v>60</v>
      </c>
      <c r="H13" s="51">
        <v>16000</v>
      </c>
      <c r="I13" s="51">
        <f t="shared" si="1"/>
        <v>0.00390625</v>
      </c>
      <c r="J13" s="53"/>
      <c r="K13" s="9">
        <f t="shared" si="2"/>
        <v>0</v>
      </c>
      <c r="L13" s="8">
        <f t="shared" si="3"/>
        <v>5</v>
      </c>
      <c r="M13" s="9">
        <f t="shared" si="4"/>
        <v>37</v>
      </c>
      <c r="N13" s="21">
        <f t="shared" si="5"/>
        <v>10.666666666666666</v>
      </c>
      <c r="O13" s="109">
        <v>127</v>
      </c>
      <c r="P13" s="109">
        <v>146</v>
      </c>
      <c r="Q13" s="109">
        <v>1</v>
      </c>
      <c r="R13" s="58"/>
      <c r="S13" s="49"/>
    </row>
    <row r="14" spans="1:19" ht="12.75">
      <c r="A14" t="s">
        <v>81</v>
      </c>
      <c r="B14" s="42" t="s">
        <v>38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109"/>
      <c r="P14" s="109"/>
      <c r="Q14" s="109"/>
      <c r="R14" s="58"/>
      <c r="S14" s="49"/>
    </row>
    <row r="15" spans="1:19" ht="12.75">
      <c r="A15" t="s">
        <v>81</v>
      </c>
      <c r="B15" s="42" t="s">
        <v>39</v>
      </c>
      <c r="C15" s="54"/>
      <c r="D15" s="54">
        <v>49</v>
      </c>
      <c r="E15" s="54"/>
      <c r="F15" s="51">
        <f t="shared" si="0"/>
        <v>0.034027777777777775</v>
      </c>
      <c r="G15" s="52" t="s">
        <v>60</v>
      </c>
      <c r="H15" s="51">
        <v>10000</v>
      </c>
      <c r="I15" s="51">
        <f t="shared" si="1"/>
        <v>0.003402777777777777</v>
      </c>
      <c r="J15" s="53"/>
      <c r="K15" s="9">
        <f t="shared" si="2"/>
        <v>0</v>
      </c>
      <c r="L15" s="8">
        <f t="shared" si="3"/>
        <v>4</v>
      </c>
      <c r="M15" s="9">
        <f t="shared" si="4"/>
        <v>54</v>
      </c>
      <c r="N15" s="21">
        <f t="shared" si="5"/>
        <v>12.244897959183675</v>
      </c>
      <c r="O15" s="109">
        <v>146</v>
      </c>
      <c r="P15" s="109">
        <v>160</v>
      </c>
      <c r="Q15" s="109">
        <v>2</v>
      </c>
      <c r="R15" s="58"/>
      <c r="S15" s="49"/>
    </row>
    <row r="16" spans="1:19" ht="12.75">
      <c r="A16" t="s">
        <v>81</v>
      </c>
      <c r="B16" s="42" t="s">
        <v>40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109"/>
      <c r="P16" s="109"/>
      <c r="Q16" s="109"/>
      <c r="R16" s="58"/>
      <c r="S16" s="49"/>
    </row>
    <row r="17" spans="1:19" ht="12.75">
      <c r="A17" t="s">
        <v>81</v>
      </c>
      <c r="B17" s="42" t="s">
        <v>41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109"/>
      <c r="P17" s="109"/>
      <c r="Q17" s="109"/>
      <c r="R17" s="58"/>
      <c r="S17" s="49"/>
    </row>
    <row r="18" spans="1:19" ht="12.75">
      <c r="A18" t="s">
        <v>81</v>
      </c>
      <c r="B18" s="42" t="s">
        <v>42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109"/>
      <c r="P18" s="109"/>
      <c r="Q18" s="109"/>
      <c r="R18" s="58"/>
      <c r="S18" s="49"/>
    </row>
    <row r="19" spans="1:19" ht="12.75">
      <c r="A19" t="s">
        <v>81</v>
      </c>
      <c r="B19" s="42" t="s">
        <v>43</v>
      </c>
      <c r="C19" s="54"/>
      <c r="D19" s="54">
        <v>47</v>
      </c>
      <c r="E19" s="54"/>
      <c r="F19" s="51">
        <f t="shared" si="0"/>
        <v>0.03263888888888889</v>
      </c>
      <c r="G19" s="52" t="s">
        <v>60</v>
      </c>
      <c r="H19" s="51">
        <v>8000</v>
      </c>
      <c r="I19" s="51">
        <f t="shared" si="1"/>
        <v>0.004079861111111111</v>
      </c>
      <c r="J19" s="53"/>
      <c r="K19" s="9">
        <f t="shared" si="2"/>
        <v>0</v>
      </c>
      <c r="L19" s="8">
        <f t="shared" si="3"/>
        <v>5</v>
      </c>
      <c r="M19" s="9">
        <f t="shared" si="4"/>
        <v>53</v>
      </c>
      <c r="N19" s="21">
        <f t="shared" si="5"/>
        <v>10.212765957446807</v>
      </c>
      <c r="O19" s="109">
        <v>127</v>
      </c>
      <c r="P19" s="109">
        <v>146</v>
      </c>
      <c r="Q19" s="109">
        <v>1</v>
      </c>
      <c r="R19" s="58"/>
      <c r="S19" s="49"/>
    </row>
    <row r="20" spans="1:19" ht="12.75">
      <c r="A20" t="s">
        <v>81</v>
      </c>
      <c r="B20" s="42" t="s">
        <v>44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>IF(G20="x",(Sommaire!B5*H20/F20)/1000,"")</f>
      </c>
      <c r="O20" s="109"/>
      <c r="P20" s="109"/>
      <c r="Q20" s="109"/>
      <c r="R20" s="58"/>
      <c r="S20" s="49"/>
    </row>
    <row r="21" spans="1:19" ht="12.75">
      <c r="A21" t="s">
        <v>81</v>
      </c>
      <c r="B21" s="42" t="s">
        <v>45</v>
      </c>
      <c r="C21" s="54"/>
      <c r="D21" s="54">
        <v>47</v>
      </c>
      <c r="E21" s="54"/>
      <c r="F21" s="51">
        <f t="shared" si="0"/>
        <v>0.03263888888888889</v>
      </c>
      <c r="G21" s="52" t="s">
        <v>60</v>
      </c>
      <c r="H21" s="51">
        <v>8000</v>
      </c>
      <c r="I21" s="51">
        <f t="shared" si="1"/>
        <v>0.004079861111111111</v>
      </c>
      <c r="J21" s="53"/>
      <c r="K21" s="9">
        <f t="shared" si="2"/>
        <v>0</v>
      </c>
      <c r="L21" s="8">
        <f t="shared" si="3"/>
        <v>5</v>
      </c>
      <c r="M21" s="9">
        <f t="shared" si="4"/>
        <v>53</v>
      </c>
      <c r="N21" s="21">
        <f t="shared" si="5"/>
        <v>10.212765957446807</v>
      </c>
      <c r="O21" s="109">
        <v>127</v>
      </c>
      <c r="P21" s="109">
        <v>146</v>
      </c>
      <c r="Q21" s="109">
        <v>1</v>
      </c>
      <c r="R21" s="58"/>
      <c r="S21" s="49"/>
    </row>
    <row r="22" spans="1:19" ht="12.75">
      <c r="A22" t="s">
        <v>81</v>
      </c>
      <c r="B22" s="42" t="s">
        <v>46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109"/>
      <c r="P22" s="109"/>
      <c r="Q22" s="109" t="s">
        <v>108</v>
      </c>
      <c r="R22" s="58"/>
      <c r="S22" s="49" t="s">
        <v>26</v>
      </c>
    </row>
    <row r="23" spans="1:19" ht="12.75">
      <c r="A23" t="s">
        <v>81</v>
      </c>
      <c r="B23" s="42" t="s">
        <v>47</v>
      </c>
      <c r="C23" s="54"/>
      <c r="D23" s="54"/>
      <c r="E23" s="54"/>
      <c r="F23" s="51">
        <f t="shared" si="0"/>
      </c>
      <c r="G23" s="52"/>
      <c r="H23" s="51"/>
      <c r="I23" s="51">
        <f t="shared" si="1"/>
      </c>
      <c r="J23" s="53"/>
      <c r="K23" s="9">
        <f t="shared" si="2"/>
      </c>
      <c r="L23" s="8">
        <f t="shared" si="3"/>
      </c>
      <c r="M23" s="9">
        <f t="shared" si="4"/>
      </c>
      <c r="N23" s="21">
        <f t="shared" si="5"/>
      </c>
      <c r="O23" s="109"/>
      <c r="P23" s="109"/>
      <c r="Q23" s="109"/>
      <c r="R23" s="58"/>
      <c r="S23" s="49"/>
    </row>
    <row r="24" spans="1:21" ht="12.75">
      <c r="A24" t="s">
        <v>81</v>
      </c>
      <c r="B24" s="42" t="s">
        <v>48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109"/>
      <c r="P24" s="109"/>
      <c r="Q24" s="109"/>
      <c r="R24" s="58"/>
      <c r="S24" s="49"/>
      <c r="U24" t="s">
        <v>122</v>
      </c>
    </row>
    <row r="25" spans="1:21" ht="12.75">
      <c r="A25" t="s">
        <v>81</v>
      </c>
      <c r="B25" s="42" t="s">
        <v>49</v>
      </c>
      <c r="C25" s="54"/>
      <c r="D25" s="54"/>
      <c r="E25" s="54"/>
      <c r="F25" s="51">
        <f t="shared" si="0"/>
      </c>
      <c r="G25" s="52"/>
      <c r="H25" s="51"/>
      <c r="I25" s="51">
        <f t="shared" si="1"/>
      </c>
      <c r="J25" s="53"/>
      <c r="K25" s="9">
        <f t="shared" si="2"/>
      </c>
      <c r="L25" s="8">
        <f t="shared" si="3"/>
      </c>
      <c r="M25" s="9">
        <f t="shared" si="4"/>
      </c>
      <c r="N25" s="21">
        <f t="shared" si="5"/>
      </c>
      <c r="O25" s="109"/>
      <c r="P25" s="109"/>
      <c r="Q25" s="109"/>
      <c r="R25" s="58"/>
      <c r="S25" s="49" t="s">
        <v>25</v>
      </c>
      <c r="U25" t="s">
        <v>122</v>
      </c>
    </row>
    <row r="26" spans="1:21" ht="12.75">
      <c r="A26" t="s">
        <v>81</v>
      </c>
      <c r="B26" s="42" t="s">
        <v>50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109"/>
      <c r="P26" s="109"/>
      <c r="Q26" s="109"/>
      <c r="R26" s="58"/>
      <c r="S26" s="49"/>
      <c r="U26" t="s">
        <v>121</v>
      </c>
    </row>
    <row r="27" spans="1:21" ht="12.75">
      <c r="A27" t="s">
        <v>81</v>
      </c>
      <c r="B27" s="42" t="s">
        <v>51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109"/>
      <c r="P27" s="109"/>
      <c r="Q27" s="109"/>
      <c r="R27" s="58"/>
      <c r="S27" s="49"/>
      <c r="U27" t="s">
        <v>120</v>
      </c>
    </row>
    <row r="28" spans="1:21" ht="12.75">
      <c r="A28" t="s">
        <v>81</v>
      </c>
      <c r="B28" s="42" t="s">
        <v>52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109"/>
      <c r="P28" s="109"/>
      <c r="Q28" s="109"/>
      <c r="R28" s="58"/>
      <c r="S28" s="49"/>
      <c r="U28" t="s">
        <v>119</v>
      </c>
    </row>
    <row r="29" spans="1:21" ht="12.75">
      <c r="A29" t="s">
        <v>81</v>
      </c>
      <c r="B29" s="42" t="s">
        <v>53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109"/>
      <c r="P29" s="109"/>
      <c r="Q29" s="109" t="s">
        <v>108</v>
      </c>
      <c r="R29" s="58"/>
      <c r="S29" s="49" t="s">
        <v>26</v>
      </c>
      <c r="U29" t="s">
        <v>118</v>
      </c>
    </row>
    <row r="30" spans="1:19" ht="12.75">
      <c r="A30" t="s">
        <v>81</v>
      </c>
      <c r="B30" s="42" t="s">
        <v>54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109"/>
      <c r="P30" s="109"/>
      <c r="Q30" s="109"/>
      <c r="R30" s="58"/>
      <c r="S30" s="49"/>
    </row>
    <row r="31" spans="1:19" ht="12.75">
      <c r="A31" t="s">
        <v>81</v>
      </c>
      <c r="B31" s="42" t="s">
        <v>55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109"/>
      <c r="P31" s="109"/>
      <c r="Q31" s="109"/>
      <c r="R31" s="58"/>
      <c r="S31" s="49"/>
    </row>
    <row r="34" ht="13.5" thickBot="1"/>
    <row r="35" spans="2:19" ht="13.5" thickBot="1">
      <c r="B35" s="41" t="s">
        <v>24</v>
      </c>
      <c r="C35" s="16">
        <f>HOUR(F35)</f>
        <v>7</v>
      </c>
      <c r="D35" s="16">
        <f>MINUTE(F35)</f>
        <v>55</v>
      </c>
      <c r="E35" s="17">
        <f>SECOND(F35)</f>
        <v>0</v>
      </c>
      <c r="F35" s="2">
        <f>SUMIF($G$3:$G$31,"x",F3:F31)</f>
        <v>0.3298611111111111</v>
      </c>
      <c r="G35" s="29">
        <f>COUNTIF(G3:G31,"x")</f>
        <v>8</v>
      </c>
      <c r="H35" s="2">
        <f>SUMIF($G$3:$G$31,"x",H3:H31)</f>
        <v>84500</v>
      </c>
      <c r="I35" s="2">
        <f>AVERAGE(I3:I32)</f>
        <v>0.0039263555423541836</v>
      </c>
      <c r="K35" s="13">
        <f>IF(G35=0,"",HOUR(I35))</f>
        <v>0</v>
      </c>
      <c r="L35" s="14">
        <f>IF(G35=0,"",MINUTE(I35))</f>
        <v>5</v>
      </c>
      <c r="M35" s="14">
        <f>IF(G35=0,"",SECOND(I35))</f>
        <v>39</v>
      </c>
      <c r="N35" s="23">
        <f>IF(G35=0,"",($T$2*H35/F35)/1000)</f>
        <v>10.673684210526314</v>
      </c>
      <c r="O35" s="23"/>
      <c r="P35" s="23"/>
      <c r="Q35" s="23"/>
      <c r="R35" s="60">
        <f>SUM(R17:R31)</f>
        <v>0</v>
      </c>
      <c r="S35" s="15" t="s">
        <v>11</v>
      </c>
    </row>
  </sheetData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16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Q30" sqref="Q30"/>
    </sheetView>
  </sheetViews>
  <sheetFormatPr defaultColWidth="11.421875" defaultRowHeight="12.75"/>
  <cols>
    <col min="1" max="1" width="5.140625" style="0" hidden="1" customWidth="1"/>
    <col min="2" max="2" width="5.00390625" style="40" bestFit="1" customWidth="1"/>
    <col min="3" max="3" width="2.28125" style="1" bestFit="1" customWidth="1"/>
    <col min="4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6" width="5.00390625" style="1" bestFit="1" customWidth="1"/>
    <col min="17" max="17" width="5.00390625" style="59" bestFit="1" customWidth="1"/>
    <col min="18" max="18" width="5.7109375" style="59" customWidth="1"/>
    <col min="19" max="19" width="17.140625" style="0" bestFit="1" customWidth="1"/>
    <col min="20" max="20" width="12.00390625" style="1" bestFit="1" customWidth="1"/>
    <col min="21" max="16384" width="2.8515625" style="0" customWidth="1"/>
  </cols>
  <sheetData>
    <row r="1" spans="2:20" ht="13.5" thickBot="1">
      <c r="B1" s="39"/>
      <c r="C1" s="117" t="s">
        <v>0</v>
      </c>
      <c r="D1" s="118"/>
      <c r="E1" s="119"/>
      <c r="F1" s="3"/>
      <c r="G1" s="3"/>
      <c r="H1" s="18"/>
      <c r="I1" s="4"/>
      <c r="J1" s="45"/>
      <c r="K1" s="120" t="s">
        <v>9</v>
      </c>
      <c r="L1" s="121"/>
      <c r="M1" s="122"/>
      <c r="N1" s="19" t="s">
        <v>14</v>
      </c>
      <c r="O1" s="113"/>
      <c r="P1" s="113"/>
      <c r="Q1" s="56"/>
      <c r="R1" s="56"/>
      <c r="S1" s="6"/>
      <c r="T1" s="1" t="s">
        <v>13</v>
      </c>
    </row>
    <row r="2" spans="2:20" ht="26.25" thickBot="1">
      <c r="B2" s="24" t="s">
        <v>58</v>
      </c>
      <c r="C2" s="10" t="s">
        <v>7</v>
      </c>
      <c r="D2" s="10" t="s">
        <v>8</v>
      </c>
      <c r="E2" s="10" t="s">
        <v>6</v>
      </c>
      <c r="F2" s="5" t="s">
        <v>4</v>
      </c>
      <c r="G2" s="43" t="s">
        <v>59</v>
      </c>
      <c r="H2" s="44" t="s">
        <v>61</v>
      </c>
      <c r="I2" s="5" t="s">
        <v>5</v>
      </c>
      <c r="J2" s="46" t="s">
        <v>2</v>
      </c>
      <c r="K2" s="11" t="s">
        <v>7</v>
      </c>
      <c r="L2" s="12" t="s">
        <v>8</v>
      </c>
      <c r="M2" s="12" t="s">
        <v>6</v>
      </c>
      <c r="N2" s="20"/>
      <c r="O2" s="114" t="s">
        <v>117</v>
      </c>
      <c r="P2" s="114" t="s">
        <v>63</v>
      </c>
      <c r="Q2" s="57" t="s">
        <v>107</v>
      </c>
      <c r="R2" s="57" t="s">
        <v>74</v>
      </c>
      <c r="S2" s="7" t="s">
        <v>10</v>
      </c>
      <c r="T2" s="2">
        <f>TIME(1,0,0)</f>
        <v>0.041666666666666664</v>
      </c>
    </row>
    <row r="3" spans="1:19" ht="12.75">
      <c r="A3" t="s">
        <v>20</v>
      </c>
      <c r="B3" s="42" t="s">
        <v>27</v>
      </c>
      <c r="C3" s="50"/>
      <c r="D3" s="50"/>
      <c r="E3" s="50"/>
      <c r="F3" s="51">
        <f aca="true" t="shared" si="0" ref="F3:F33">IF(G3="x",TIME(C3,D3,E3),"")</f>
      </c>
      <c r="G3" s="52"/>
      <c r="H3" s="51"/>
      <c r="I3" s="51">
        <f aca="true" t="shared" si="1" ref="I3:I33">IF(G3="x",F3*1000/H3,"")</f>
      </c>
      <c r="J3" s="53"/>
      <c r="K3" s="9">
        <f aca="true" t="shared" si="2" ref="K3:K33">IF(G3="x",HOUR(I3),"")</f>
      </c>
      <c r="L3" s="8">
        <f aca="true" t="shared" si="3" ref="L3:L33">IF(G3="x",MINUTE(I3),"")</f>
      </c>
      <c r="M3" s="9">
        <f aca="true" t="shared" si="4" ref="M3:M33">IF(G3="x",SECOND(I3),"")</f>
      </c>
      <c r="N3" s="21">
        <f aca="true" t="shared" si="5" ref="N3:N33">IF(G3="x",($T$2*H3/F3)/1000,"")</f>
      </c>
      <c r="O3" s="109"/>
      <c r="P3" s="109"/>
      <c r="Q3" s="58"/>
      <c r="R3" s="58"/>
      <c r="S3" s="48" t="s">
        <v>25</v>
      </c>
    </row>
    <row r="4" spans="1:19" ht="12.75">
      <c r="A4" t="s">
        <v>20</v>
      </c>
      <c r="B4" s="42" t="s">
        <v>28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109"/>
      <c r="P4" s="109"/>
      <c r="Q4" s="58"/>
      <c r="R4" s="58"/>
      <c r="S4" s="49"/>
    </row>
    <row r="5" spans="1:19" ht="12.75">
      <c r="A5" t="s">
        <v>20</v>
      </c>
      <c r="B5" s="42" t="s">
        <v>29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109"/>
      <c r="P5" s="109"/>
      <c r="Q5" s="58"/>
      <c r="R5" s="58"/>
      <c r="S5" s="49"/>
    </row>
    <row r="6" spans="1:19" ht="12.75">
      <c r="A6" t="s">
        <v>20</v>
      </c>
      <c r="B6" s="42" t="s">
        <v>30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109"/>
      <c r="P6" s="109"/>
      <c r="Q6" s="58"/>
      <c r="R6" s="58"/>
      <c r="S6" s="49"/>
    </row>
    <row r="7" spans="1:19" ht="12.75">
      <c r="A7" t="s">
        <v>20</v>
      </c>
      <c r="B7" s="42" t="s">
        <v>31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 t="shared" si="5"/>
      </c>
      <c r="O7" s="109"/>
      <c r="P7" s="109"/>
      <c r="Q7" s="58" t="s">
        <v>108</v>
      </c>
      <c r="R7" s="58"/>
      <c r="S7" s="49" t="s">
        <v>26</v>
      </c>
    </row>
    <row r="8" spans="1:19" ht="12.75">
      <c r="A8" t="s">
        <v>20</v>
      </c>
      <c r="B8" s="42" t="s">
        <v>32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109"/>
      <c r="P8" s="109"/>
      <c r="Q8" s="58"/>
      <c r="R8" s="58"/>
      <c r="S8" s="49"/>
    </row>
    <row r="9" spans="1:19" ht="12.75">
      <c r="A9" t="s">
        <v>20</v>
      </c>
      <c r="B9" s="42" t="s">
        <v>33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109"/>
      <c r="P9" s="109"/>
      <c r="Q9" s="58"/>
      <c r="R9" s="58"/>
      <c r="S9" s="49"/>
    </row>
    <row r="10" spans="1:19" ht="12.75">
      <c r="A10" t="s">
        <v>20</v>
      </c>
      <c r="B10" s="42" t="s">
        <v>34</v>
      </c>
      <c r="C10" s="54"/>
      <c r="D10" s="54">
        <v>50</v>
      </c>
      <c r="E10" s="54"/>
      <c r="F10" s="51">
        <f t="shared" si="0"/>
        <v>0.034722222222222224</v>
      </c>
      <c r="G10" s="52" t="s">
        <v>60</v>
      </c>
      <c r="H10" s="51">
        <v>8500</v>
      </c>
      <c r="I10" s="51">
        <f t="shared" si="1"/>
        <v>0.004084967320261438</v>
      </c>
      <c r="J10" s="53"/>
      <c r="K10" s="9">
        <f t="shared" si="2"/>
        <v>0</v>
      </c>
      <c r="L10" s="8">
        <f t="shared" si="3"/>
        <v>5</v>
      </c>
      <c r="M10" s="9">
        <f t="shared" si="4"/>
        <v>53</v>
      </c>
      <c r="N10" s="21">
        <f t="shared" si="5"/>
        <v>10.199999999999998</v>
      </c>
      <c r="O10" s="109">
        <v>127</v>
      </c>
      <c r="P10" s="109">
        <v>146</v>
      </c>
      <c r="Q10" s="58" t="s">
        <v>126</v>
      </c>
      <c r="R10" s="58"/>
      <c r="S10" s="49"/>
    </row>
    <row r="11" spans="1:19" ht="12.75">
      <c r="A11" t="s">
        <v>20</v>
      </c>
      <c r="B11" s="42" t="s">
        <v>35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109"/>
      <c r="P11" s="109"/>
      <c r="Q11" s="58"/>
      <c r="R11" s="58"/>
      <c r="S11" s="49"/>
    </row>
    <row r="12" spans="1:19" ht="12.75">
      <c r="A12" t="s">
        <v>20</v>
      </c>
      <c r="B12" s="42" t="s">
        <v>36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109"/>
      <c r="P12" s="109"/>
      <c r="Q12" s="58" t="s">
        <v>108</v>
      </c>
      <c r="R12" s="58"/>
      <c r="S12" s="49" t="s">
        <v>124</v>
      </c>
    </row>
    <row r="13" spans="1:19" ht="12.75">
      <c r="A13" t="s">
        <v>20</v>
      </c>
      <c r="B13" s="42" t="s">
        <v>37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109"/>
      <c r="P13" s="109"/>
      <c r="Q13" s="58"/>
      <c r="R13" s="58"/>
      <c r="S13" s="49"/>
    </row>
    <row r="14" spans="1:19" ht="12.75">
      <c r="A14" t="s">
        <v>20</v>
      </c>
      <c r="B14" s="42" t="s">
        <v>38</v>
      </c>
      <c r="C14" s="54">
        <v>1</v>
      </c>
      <c r="D14" s="54">
        <v>9</v>
      </c>
      <c r="E14" s="54"/>
      <c r="F14" s="51">
        <f t="shared" si="0"/>
        <v>0.04791666666666666</v>
      </c>
      <c r="G14" s="52" t="s">
        <v>60</v>
      </c>
      <c r="H14" s="51">
        <v>12000</v>
      </c>
      <c r="I14" s="51">
        <f t="shared" si="1"/>
        <v>0.003993055555555555</v>
      </c>
      <c r="J14" s="53"/>
      <c r="K14" s="9">
        <f t="shared" si="2"/>
        <v>0</v>
      </c>
      <c r="L14" s="8">
        <f t="shared" si="3"/>
        <v>5</v>
      </c>
      <c r="M14" s="9">
        <f t="shared" si="4"/>
        <v>45</v>
      </c>
      <c r="N14" s="21">
        <f t="shared" si="5"/>
        <v>10.434782608695654</v>
      </c>
      <c r="O14" s="109">
        <v>127</v>
      </c>
      <c r="P14" s="109">
        <v>146</v>
      </c>
      <c r="Q14" s="58" t="s">
        <v>126</v>
      </c>
      <c r="R14" s="58"/>
      <c r="S14" s="49"/>
    </row>
    <row r="15" spans="1:19" ht="12.75">
      <c r="A15" t="s">
        <v>20</v>
      </c>
      <c r="B15" s="42" t="s">
        <v>39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109"/>
      <c r="P15" s="109"/>
      <c r="Q15" s="58"/>
      <c r="R15" s="58"/>
      <c r="S15" s="49"/>
    </row>
    <row r="16" spans="1:19" ht="12.75">
      <c r="A16" t="s">
        <v>20</v>
      </c>
      <c r="B16" s="42" t="s">
        <v>40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109"/>
      <c r="P16" s="109"/>
      <c r="Q16" s="58"/>
      <c r="R16" s="58"/>
      <c r="S16" s="49"/>
    </row>
    <row r="17" spans="1:19" ht="12.75">
      <c r="A17" t="s">
        <v>20</v>
      </c>
      <c r="B17" s="42" t="s">
        <v>41</v>
      </c>
      <c r="C17" s="54"/>
      <c r="D17" s="54">
        <v>46</v>
      </c>
      <c r="E17" s="54">
        <v>30</v>
      </c>
      <c r="F17" s="51">
        <f t="shared" si="0"/>
        <v>0.03229166666666667</v>
      </c>
      <c r="G17" s="52" t="s">
        <v>60</v>
      </c>
      <c r="H17" s="51">
        <v>8500</v>
      </c>
      <c r="I17" s="51">
        <f t="shared" si="1"/>
        <v>0.0037990196078431376</v>
      </c>
      <c r="J17" s="53"/>
      <c r="K17" s="9">
        <f t="shared" si="2"/>
        <v>0</v>
      </c>
      <c r="L17" s="8">
        <f t="shared" si="3"/>
        <v>5</v>
      </c>
      <c r="M17" s="9">
        <f t="shared" si="4"/>
        <v>28</v>
      </c>
      <c r="N17" s="21">
        <f t="shared" si="5"/>
        <v>10.96774193548387</v>
      </c>
      <c r="O17" s="109">
        <v>146</v>
      </c>
      <c r="P17" s="109">
        <v>160</v>
      </c>
      <c r="Q17" s="58" t="s">
        <v>126</v>
      </c>
      <c r="R17" s="58"/>
      <c r="S17" s="49"/>
    </row>
    <row r="18" spans="1:19" ht="12.75">
      <c r="A18" t="s">
        <v>20</v>
      </c>
      <c r="B18" s="42" t="s">
        <v>42</v>
      </c>
      <c r="C18" s="54"/>
      <c r="D18" s="54"/>
      <c r="E18" s="54"/>
      <c r="F18" s="51">
        <f t="shared" si="0"/>
      </c>
      <c r="G18" s="52" t="s">
        <v>123</v>
      </c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109"/>
      <c r="P18" s="109"/>
      <c r="Q18" s="58"/>
      <c r="R18" s="58">
        <v>649</v>
      </c>
      <c r="S18" s="49" t="s">
        <v>125</v>
      </c>
    </row>
    <row r="19" spans="1:19" ht="12.75">
      <c r="A19" t="s">
        <v>20</v>
      </c>
      <c r="B19" s="42" t="s">
        <v>43</v>
      </c>
      <c r="C19" s="54"/>
      <c r="D19" s="54">
        <v>45</v>
      </c>
      <c r="E19" s="54"/>
      <c r="F19" s="51">
        <f t="shared" si="0"/>
        <v>0.03125</v>
      </c>
      <c r="G19" s="52" t="s">
        <v>60</v>
      </c>
      <c r="H19" s="51">
        <v>7800</v>
      </c>
      <c r="I19" s="51">
        <f t="shared" si="1"/>
        <v>0.004006410256410256</v>
      </c>
      <c r="J19" s="53"/>
      <c r="K19" s="9">
        <f t="shared" si="2"/>
        <v>0</v>
      </c>
      <c r="L19" s="8">
        <f t="shared" si="3"/>
        <v>5</v>
      </c>
      <c r="M19" s="9">
        <f t="shared" si="4"/>
        <v>46</v>
      </c>
      <c r="N19" s="21">
        <f t="shared" si="5"/>
        <v>10.4</v>
      </c>
      <c r="O19" s="109">
        <v>127</v>
      </c>
      <c r="P19" s="109">
        <v>146</v>
      </c>
      <c r="Q19" s="58" t="s">
        <v>126</v>
      </c>
      <c r="R19" s="58"/>
      <c r="S19" s="49"/>
    </row>
    <row r="20" spans="1:19" ht="12.75">
      <c r="A20" t="s">
        <v>20</v>
      </c>
      <c r="B20" s="42" t="s">
        <v>44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109"/>
      <c r="P20" s="109"/>
      <c r="Q20" s="58"/>
      <c r="R20" s="58"/>
      <c r="S20" s="49"/>
    </row>
    <row r="21" spans="1:19" ht="12.75">
      <c r="A21" t="s">
        <v>20</v>
      </c>
      <c r="B21" s="42" t="s">
        <v>45</v>
      </c>
      <c r="C21" s="54">
        <v>1</v>
      </c>
      <c r="D21" s="54">
        <v>45</v>
      </c>
      <c r="E21" s="54">
        <v>51</v>
      </c>
      <c r="F21" s="51">
        <f t="shared" si="0"/>
        <v>0.07350694444444444</v>
      </c>
      <c r="G21" s="52" t="s">
        <v>60</v>
      </c>
      <c r="H21" s="51">
        <v>18500</v>
      </c>
      <c r="I21" s="51">
        <f t="shared" si="1"/>
        <v>0.003973348348348348</v>
      </c>
      <c r="J21" s="53"/>
      <c r="K21" s="9">
        <f t="shared" si="2"/>
        <v>0</v>
      </c>
      <c r="L21" s="8">
        <f t="shared" si="3"/>
        <v>5</v>
      </c>
      <c r="M21" s="9">
        <f t="shared" si="4"/>
        <v>43</v>
      </c>
      <c r="N21" s="21">
        <f t="shared" si="5"/>
        <v>10.486537553141238</v>
      </c>
      <c r="O21" s="109">
        <v>127</v>
      </c>
      <c r="P21" s="109">
        <v>146</v>
      </c>
      <c r="Q21" s="58" t="s">
        <v>126</v>
      </c>
      <c r="R21" s="58"/>
      <c r="S21" s="49"/>
    </row>
    <row r="22" spans="1:19" ht="12.75">
      <c r="A22" t="s">
        <v>20</v>
      </c>
      <c r="B22" s="42" t="s">
        <v>46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109"/>
      <c r="P22" s="109"/>
      <c r="Q22" s="58"/>
      <c r="R22" s="58"/>
      <c r="S22" s="49"/>
    </row>
    <row r="23" spans="1:19" ht="12.75">
      <c r="A23" t="s">
        <v>20</v>
      </c>
      <c r="B23" s="42" t="s">
        <v>47</v>
      </c>
      <c r="C23" s="54"/>
      <c r="D23" s="54">
        <v>42</v>
      </c>
      <c r="E23" s="54">
        <v>57</v>
      </c>
      <c r="F23" s="51">
        <f t="shared" si="0"/>
        <v>0.029826388888888892</v>
      </c>
      <c r="G23" s="52" t="s">
        <v>60</v>
      </c>
      <c r="H23" s="51">
        <v>7500</v>
      </c>
      <c r="I23" s="51">
        <f t="shared" si="1"/>
        <v>0.003976851851851852</v>
      </c>
      <c r="J23" s="53"/>
      <c r="K23" s="9">
        <f t="shared" si="2"/>
        <v>0</v>
      </c>
      <c r="L23" s="8">
        <f t="shared" si="3"/>
        <v>5</v>
      </c>
      <c r="M23" s="9">
        <f t="shared" si="4"/>
        <v>44</v>
      </c>
      <c r="N23" s="21">
        <f t="shared" si="5"/>
        <v>10.477299185098952</v>
      </c>
      <c r="O23" s="109">
        <v>127</v>
      </c>
      <c r="P23" s="109">
        <v>146</v>
      </c>
      <c r="Q23" s="58" t="s">
        <v>126</v>
      </c>
      <c r="R23" s="58"/>
      <c r="S23" s="49"/>
    </row>
    <row r="24" spans="1:19" ht="12.75">
      <c r="A24" t="s">
        <v>20</v>
      </c>
      <c r="B24" s="42" t="s">
        <v>48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109"/>
      <c r="P24" s="109"/>
      <c r="Q24" s="58"/>
      <c r="R24" s="58"/>
      <c r="S24" s="49"/>
    </row>
    <row r="25" spans="1:19" ht="12.75">
      <c r="A25" t="s">
        <v>20</v>
      </c>
      <c r="B25" s="42" t="s">
        <v>49</v>
      </c>
      <c r="C25" s="54"/>
      <c r="D25" s="54">
        <v>45</v>
      </c>
      <c r="E25" s="54"/>
      <c r="F25" s="51">
        <f t="shared" si="0"/>
        <v>0.03125</v>
      </c>
      <c r="G25" s="52" t="s">
        <v>60</v>
      </c>
      <c r="H25" s="51">
        <v>8000</v>
      </c>
      <c r="I25" s="51">
        <f t="shared" si="1"/>
        <v>0.00390625</v>
      </c>
      <c r="J25" s="53"/>
      <c r="K25" s="9">
        <f t="shared" si="2"/>
        <v>0</v>
      </c>
      <c r="L25" s="8">
        <f t="shared" si="3"/>
        <v>5</v>
      </c>
      <c r="M25" s="9">
        <f t="shared" si="4"/>
        <v>37</v>
      </c>
      <c r="N25" s="21">
        <f t="shared" si="5"/>
        <v>10.666666666666666</v>
      </c>
      <c r="O25" s="109">
        <v>127</v>
      </c>
      <c r="P25" s="109">
        <v>173</v>
      </c>
      <c r="Q25" s="58" t="s">
        <v>127</v>
      </c>
      <c r="R25" s="58"/>
      <c r="S25" s="49"/>
    </row>
    <row r="26" spans="1:19" ht="12.75">
      <c r="A26" t="s">
        <v>20</v>
      </c>
      <c r="B26" s="42" t="s">
        <v>50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109"/>
      <c r="P26" s="109"/>
      <c r="Q26" s="58"/>
      <c r="R26" s="58"/>
      <c r="S26" s="49"/>
    </row>
    <row r="27" spans="1:19" ht="12.75">
      <c r="A27" t="s">
        <v>20</v>
      </c>
      <c r="B27" s="42" t="s">
        <v>51</v>
      </c>
      <c r="C27" s="54">
        <v>1</v>
      </c>
      <c r="D27" s="54">
        <v>34</v>
      </c>
      <c r="E27" s="54">
        <v>48</v>
      </c>
      <c r="F27" s="51">
        <f t="shared" si="0"/>
        <v>0.06583333333333334</v>
      </c>
      <c r="G27" s="52" t="s">
        <v>60</v>
      </c>
      <c r="H27" s="51">
        <v>17000</v>
      </c>
      <c r="I27" s="51">
        <f t="shared" si="1"/>
        <v>0.003872549019607844</v>
      </c>
      <c r="J27" s="53"/>
      <c r="K27" s="9">
        <f t="shared" si="2"/>
        <v>0</v>
      </c>
      <c r="L27" s="8">
        <f t="shared" si="3"/>
        <v>5</v>
      </c>
      <c r="M27" s="9">
        <f t="shared" si="4"/>
        <v>35</v>
      </c>
      <c r="N27" s="21">
        <f t="shared" si="5"/>
        <v>10.759493670886073</v>
      </c>
      <c r="O27" s="109">
        <v>146</v>
      </c>
      <c r="P27" s="109">
        <v>160</v>
      </c>
      <c r="Q27" s="58" t="s">
        <v>128</v>
      </c>
      <c r="R27" s="58"/>
      <c r="S27" s="49"/>
    </row>
    <row r="28" spans="1:19" ht="12.75">
      <c r="A28" t="s">
        <v>20</v>
      </c>
      <c r="B28" s="42" t="s">
        <v>52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109"/>
      <c r="P28" s="109"/>
      <c r="Q28" s="58"/>
      <c r="R28" s="58"/>
      <c r="S28" s="49"/>
    </row>
    <row r="29" spans="1:19" ht="12.75">
      <c r="A29" t="s">
        <v>20</v>
      </c>
      <c r="B29" s="42" t="s">
        <v>53</v>
      </c>
      <c r="C29" s="54"/>
      <c r="D29" s="54">
        <v>45</v>
      </c>
      <c r="E29" s="54"/>
      <c r="F29" s="51">
        <f t="shared" si="0"/>
        <v>0.03125</v>
      </c>
      <c r="G29" s="52" t="s">
        <v>60</v>
      </c>
      <c r="H29" s="51">
        <v>7500</v>
      </c>
      <c r="I29" s="51">
        <f t="shared" si="1"/>
        <v>0.004166666666666667</v>
      </c>
      <c r="J29" s="53"/>
      <c r="K29" s="9">
        <f t="shared" si="2"/>
        <v>0</v>
      </c>
      <c r="L29" s="8">
        <f t="shared" si="3"/>
        <v>6</v>
      </c>
      <c r="M29" s="9">
        <f t="shared" si="4"/>
        <v>0</v>
      </c>
      <c r="N29" s="21">
        <f t="shared" si="5"/>
        <v>10</v>
      </c>
      <c r="O29" s="109">
        <v>127</v>
      </c>
      <c r="P29" s="109">
        <v>146</v>
      </c>
      <c r="Q29" s="58" t="s">
        <v>126</v>
      </c>
      <c r="R29" s="58"/>
      <c r="S29" s="49"/>
    </row>
    <row r="30" spans="1:19" ht="12.75">
      <c r="A30" t="s">
        <v>20</v>
      </c>
      <c r="B30" s="42" t="s">
        <v>54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109"/>
      <c r="P30" s="109"/>
      <c r="Q30" s="58"/>
      <c r="R30" s="58"/>
      <c r="S30" s="49"/>
    </row>
    <row r="31" spans="1:19" ht="12.75">
      <c r="A31" t="s">
        <v>20</v>
      </c>
      <c r="B31" s="42" t="s">
        <v>55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109"/>
      <c r="P31" s="109"/>
      <c r="Q31" s="58"/>
      <c r="R31" s="58"/>
      <c r="S31" s="49"/>
    </row>
    <row r="32" spans="1:19" ht="12.75">
      <c r="A32" t="s">
        <v>20</v>
      </c>
      <c r="B32" s="42" t="s">
        <v>56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109"/>
      <c r="P32" s="109"/>
      <c r="Q32" s="58"/>
      <c r="R32" s="58"/>
      <c r="S32" s="49"/>
    </row>
    <row r="33" spans="1:19" ht="12.75">
      <c r="A33" t="s">
        <v>20</v>
      </c>
      <c r="B33" s="42" t="s">
        <v>57</v>
      </c>
      <c r="C33" s="54"/>
      <c r="D33" s="54"/>
      <c r="E33" s="54"/>
      <c r="F33" s="51">
        <f t="shared" si="0"/>
      </c>
      <c r="G33" s="52"/>
      <c r="H33" s="51"/>
      <c r="I33" s="51">
        <f t="shared" si="1"/>
      </c>
      <c r="J33" s="53"/>
      <c r="K33" s="9">
        <f t="shared" si="2"/>
      </c>
      <c r="L33" s="8">
        <f t="shared" si="3"/>
      </c>
      <c r="M33" s="9">
        <f t="shared" si="4"/>
      </c>
      <c r="N33" s="21">
        <f t="shared" si="5"/>
      </c>
      <c r="O33" s="109"/>
      <c r="P33" s="109"/>
      <c r="Q33" s="58"/>
      <c r="R33" s="58"/>
      <c r="S33" s="49"/>
    </row>
    <row r="34" ht="13.5" thickBot="1"/>
    <row r="35" spans="2:19" ht="13.5" thickBot="1">
      <c r="B35" s="41" t="s">
        <v>24</v>
      </c>
      <c r="C35" s="16">
        <f>HOUR(F35)</f>
        <v>9</v>
      </c>
      <c r="D35" s="16">
        <f>MINUTE(F35)</f>
        <v>4</v>
      </c>
      <c r="E35" s="17">
        <f>SECOND(F35)</f>
        <v>6</v>
      </c>
      <c r="F35" s="2">
        <f>SUMIF($G$3:$G$33,"x",F3:F33)</f>
        <v>0.3778472222222223</v>
      </c>
      <c r="G35" s="29">
        <f>COUNTIF(G3:G33,"x")</f>
        <v>9</v>
      </c>
      <c r="H35" s="2">
        <f>SUMIF($G$3:$G$33,"x",H3:H33)</f>
        <v>95300</v>
      </c>
      <c r="I35" s="2">
        <f>AVERAGE(I3:I34)</f>
        <v>0.003975457625171677</v>
      </c>
      <c r="K35" s="13">
        <f>IF(G35=0,"",HOUR(I35))</f>
        <v>0</v>
      </c>
      <c r="L35" s="14">
        <f>IF(G35=0,"",MINUTE(I35))</f>
        <v>5</v>
      </c>
      <c r="M35" s="14">
        <f>IF(G35=0,"",SECOND(I35))</f>
        <v>43</v>
      </c>
      <c r="N35" s="23">
        <f>IF(G35=0,"",($T$2*H35/F35)/1000)</f>
        <v>10.509097592354344</v>
      </c>
      <c r="O35" s="115"/>
      <c r="P35" s="115"/>
      <c r="Q35" s="60"/>
      <c r="R35" s="60">
        <f>SUM(R17:R33)</f>
        <v>649</v>
      </c>
      <c r="S35" s="15" t="s">
        <v>11</v>
      </c>
    </row>
  </sheetData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3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31" sqref="P31"/>
    </sheetView>
  </sheetViews>
  <sheetFormatPr defaultColWidth="11.421875" defaultRowHeight="12.75"/>
  <cols>
    <col min="1" max="1" width="4.140625" style="0" hidden="1" customWidth="1"/>
    <col min="2" max="2" width="5.00390625" style="40" bestFit="1" customWidth="1"/>
    <col min="3" max="5" width="3.00390625" style="1" bestFit="1" customWidth="1"/>
    <col min="6" max="6" width="9.5742187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6" width="5.57421875" style="1" bestFit="1" customWidth="1"/>
    <col min="17" max="17" width="5.57421875" style="1" customWidth="1"/>
    <col min="18" max="18" width="4.8515625" style="59" bestFit="1" customWidth="1"/>
    <col min="19" max="19" width="11.7109375" style="0" bestFit="1" customWidth="1"/>
    <col min="20" max="20" width="12.00390625" style="1" bestFit="1" customWidth="1"/>
    <col min="21" max="16384" width="2.8515625" style="0" customWidth="1"/>
  </cols>
  <sheetData>
    <row r="1" spans="2:20" ht="13.5" thickBot="1">
      <c r="B1" s="39"/>
      <c r="C1" s="117" t="s">
        <v>0</v>
      </c>
      <c r="D1" s="118"/>
      <c r="E1" s="119"/>
      <c r="F1" s="3"/>
      <c r="G1" s="3"/>
      <c r="H1" s="18"/>
      <c r="I1" s="4"/>
      <c r="J1" s="45"/>
      <c r="K1" s="120" t="s">
        <v>9</v>
      </c>
      <c r="L1" s="121"/>
      <c r="M1" s="122"/>
      <c r="N1" s="19" t="s">
        <v>14</v>
      </c>
      <c r="O1" s="113"/>
      <c r="P1" s="113"/>
      <c r="Q1" s="113"/>
      <c r="R1" s="56"/>
      <c r="S1" s="6"/>
      <c r="T1" s="1" t="s">
        <v>13</v>
      </c>
    </row>
    <row r="2" spans="2:20" ht="26.25" thickBot="1">
      <c r="B2" s="24" t="s">
        <v>58</v>
      </c>
      <c r="C2" s="10" t="s">
        <v>7</v>
      </c>
      <c r="D2" s="10" t="s">
        <v>8</v>
      </c>
      <c r="E2" s="10" t="s">
        <v>6</v>
      </c>
      <c r="F2" s="5" t="s">
        <v>4</v>
      </c>
      <c r="G2" s="43" t="s">
        <v>59</v>
      </c>
      <c r="H2" s="44" t="s">
        <v>61</v>
      </c>
      <c r="I2" s="5" t="s">
        <v>5</v>
      </c>
      <c r="J2" s="46" t="s">
        <v>2</v>
      </c>
      <c r="K2" s="11" t="s">
        <v>7</v>
      </c>
      <c r="L2" s="12" t="s">
        <v>8</v>
      </c>
      <c r="M2" s="12" t="s">
        <v>6</v>
      </c>
      <c r="N2" s="20"/>
      <c r="O2" s="114" t="s">
        <v>62</v>
      </c>
      <c r="P2" s="114" t="s">
        <v>63</v>
      </c>
      <c r="Q2" s="114" t="s">
        <v>129</v>
      </c>
      <c r="R2" s="57" t="s">
        <v>74</v>
      </c>
      <c r="S2" s="7" t="s">
        <v>10</v>
      </c>
      <c r="T2" s="2">
        <f>TIME(1,0,0)</f>
        <v>0.041666666666666664</v>
      </c>
    </row>
    <row r="3" spans="1:19" ht="12.75">
      <c r="A3" t="s">
        <v>82</v>
      </c>
      <c r="B3" s="42" t="s">
        <v>27</v>
      </c>
      <c r="C3" s="50"/>
      <c r="D3" s="50">
        <v>51</v>
      </c>
      <c r="E3" s="50">
        <v>0</v>
      </c>
      <c r="F3" s="51">
        <f aca="true" t="shared" si="0" ref="F3:F32">IF(G3="x",TIME(C3,D3,E3),"")</f>
        <v>0.035416666666666666</v>
      </c>
      <c r="G3" s="52" t="s">
        <v>60</v>
      </c>
      <c r="H3" s="51">
        <v>8800</v>
      </c>
      <c r="I3" s="51">
        <f aca="true" t="shared" si="1" ref="I3:I32">IF(G3="x",F3*1000/H3,"")</f>
        <v>0.004024621212121212</v>
      </c>
      <c r="J3" s="53"/>
      <c r="K3" s="9">
        <f aca="true" t="shared" si="2" ref="K3:K32">IF(G3="x",HOUR(I3),"")</f>
        <v>0</v>
      </c>
      <c r="L3" s="8">
        <f aca="true" t="shared" si="3" ref="L3:L32">IF(G3="x",MINUTE(I3),"")</f>
        <v>5</v>
      </c>
      <c r="M3" s="9">
        <f aca="true" t="shared" si="4" ref="M3:M32">IF(G3="x",SECOND(I3),"")</f>
        <v>48</v>
      </c>
      <c r="N3" s="21">
        <f aca="true" t="shared" si="5" ref="N3:N32">IF(G3="x",($T$2*H3/F3)/1000,"")</f>
        <v>10.352941176470587</v>
      </c>
      <c r="O3" s="109">
        <v>127</v>
      </c>
      <c r="P3" s="109">
        <v>146</v>
      </c>
      <c r="Q3" s="109"/>
      <c r="R3" s="58"/>
      <c r="S3" s="48"/>
    </row>
    <row r="4" spans="1:19" ht="12.75">
      <c r="A4" t="s">
        <v>82</v>
      </c>
      <c r="B4" s="42" t="s">
        <v>28</v>
      </c>
      <c r="C4" s="54">
        <v>2</v>
      </c>
      <c r="D4" s="54">
        <v>1</v>
      </c>
      <c r="E4" s="54">
        <v>30</v>
      </c>
      <c r="F4" s="51">
        <f t="shared" si="0"/>
        <v>0.08437499999999999</v>
      </c>
      <c r="G4" s="52" t="s">
        <v>60</v>
      </c>
      <c r="H4" s="51">
        <v>20000</v>
      </c>
      <c r="I4" s="51">
        <f t="shared" si="1"/>
        <v>0.004218749999999999</v>
      </c>
      <c r="J4" s="53"/>
      <c r="K4" s="9">
        <f t="shared" si="2"/>
        <v>0</v>
      </c>
      <c r="L4" s="8">
        <f t="shared" si="3"/>
        <v>6</v>
      </c>
      <c r="M4" s="9">
        <f t="shared" si="4"/>
        <v>4</v>
      </c>
      <c r="N4" s="21">
        <f t="shared" si="5"/>
        <v>9.876543209876543</v>
      </c>
      <c r="O4" s="109">
        <v>127</v>
      </c>
      <c r="P4" s="109">
        <v>146</v>
      </c>
      <c r="Q4" s="109"/>
      <c r="R4" s="58"/>
      <c r="S4" s="49"/>
    </row>
    <row r="5" spans="1:19" ht="12.75">
      <c r="A5" t="s">
        <v>82</v>
      </c>
      <c r="B5" s="42" t="s">
        <v>29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109"/>
      <c r="P5" s="109"/>
      <c r="Q5" s="109"/>
      <c r="R5" s="58"/>
      <c r="S5" s="49"/>
    </row>
    <row r="6" spans="1:19" ht="12.75">
      <c r="A6" t="s">
        <v>82</v>
      </c>
      <c r="B6" s="42" t="s">
        <v>30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109"/>
      <c r="P6" s="109"/>
      <c r="Q6" s="109"/>
      <c r="R6" s="58"/>
      <c r="S6" s="49"/>
    </row>
    <row r="7" spans="1:19" ht="12.75">
      <c r="A7" t="s">
        <v>82</v>
      </c>
      <c r="B7" s="42" t="s">
        <v>31</v>
      </c>
      <c r="C7" s="54"/>
      <c r="D7" s="54">
        <v>58</v>
      </c>
      <c r="E7" s="54">
        <v>30</v>
      </c>
      <c r="F7" s="51">
        <f t="shared" si="0"/>
        <v>0.040625</v>
      </c>
      <c r="G7" s="52" t="s">
        <v>60</v>
      </c>
      <c r="H7" s="51">
        <v>10000</v>
      </c>
      <c r="I7" s="51">
        <f t="shared" si="1"/>
        <v>0.0040625</v>
      </c>
      <c r="J7" s="53"/>
      <c r="K7" s="9">
        <f t="shared" si="2"/>
        <v>0</v>
      </c>
      <c r="L7" s="8">
        <f t="shared" si="3"/>
        <v>5</v>
      </c>
      <c r="M7" s="9">
        <f t="shared" si="4"/>
        <v>51</v>
      </c>
      <c r="N7" s="21">
        <f t="shared" si="5"/>
        <v>10.256410256410255</v>
      </c>
      <c r="O7" s="109">
        <v>127</v>
      </c>
      <c r="P7" s="109">
        <v>165</v>
      </c>
      <c r="Q7" s="109" t="s">
        <v>130</v>
      </c>
      <c r="R7" s="58"/>
      <c r="S7" s="49"/>
    </row>
    <row r="8" spans="1:19" ht="12.75">
      <c r="A8" t="s">
        <v>82</v>
      </c>
      <c r="B8" s="42" t="s">
        <v>32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109"/>
      <c r="P8" s="109"/>
      <c r="Q8" s="109"/>
      <c r="R8" s="58"/>
      <c r="S8" s="49"/>
    </row>
    <row r="9" spans="1:19" ht="12.75">
      <c r="A9" t="s">
        <v>82</v>
      </c>
      <c r="B9" s="42" t="s">
        <v>33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109"/>
      <c r="P9" s="109"/>
      <c r="Q9" s="109"/>
      <c r="R9" s="58"/>
      <c r="S9" s="49"/>
    </row>
    <row r="10" spans="1:19" ht="12.75">
      <c r="A10" t="s">
        <v>82</v>
      </c>
      <c r="B10" s="42" t="s">
        <v>34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109"/>
      <c r="P10" s="109"/>
      <c r="Q10" s="109"/>
      <c r="R10" s="58"/>
      <c r="S10" s="49"/>
    </row>
    <row r="11" spans="1:19" ht="12.75">
      <c r="A11" t="s">
        <v>82</v>
      </c>
      <c r="B11" s="42" t="s">
        <v>35</v>
      </c>
      <c r="C11" s="54"/>
      <c r="D11" s="54">
        <v>56</v>
      </c>
      <c r="E11" s="54">
        <v>46</v>
      </c>
      <c r="F11" s="51">
        <f t="shared" si="0"/>
        <v>0.039421296296296295</v>
      </c>
      <c r="G11" s="52" t="s">
        <v>60</v>
      </c>
      <c r="H11" s="51">
        <v>9600</v>
      </c>
      <c r="I11" s="51">
        <f t="shared" si="1"/>
        <v>0.004106385030864198</v>
      </c>
      <c r="J11" s="53"/>
      <c r="K11" s="9">
        <f t="shared" si="2"/>
        <v>0</v>
      </c>
      <c r="L11" s="8">
        <f t="shared" si="3"/>
        <v>5</v>
      </c>
      <c r="M11" s="9">
        <f t="shared" si="4"/>
        <v>55</v>
      </c>
      <c r="N11" s="21">
        <f t="shared" si="5"/>
        <v>10.146799765120377</v>
      </c>
      <c r="O11" s="109">
        <v>127</v>
      </c>
      <c r="P11" s="109">
        <v>146</v>
      </c>
      <c r="Q11" s="109"/>
      <c r="R11" s="58"/>
      <c r="S11" s="49"/>
    </row>
    <row r="12" spans="1:19" ht="12.75">
      <c r="A12" t="s">
        <v>82</v>
      </c>
      <c r="B12" s="42" t="s">
        <v>36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109"/>
      <c r="P12" s="109"/>
      <c r="Q12" s="109"/>
      <c r="R12" s="58"/>
      <c r="S12" s="49"/>
    </row>
    <row r="13" spans="1:19" ht="12.75">
      <c r="A13" t="s">
        <v>82</v>
      </c>
      <c r="B13" s="42" t="s">
        <v>37</v>
      </c>
      <c r="C13" s="54"/>
      <c r="D13" s="54">
        <v>50</v>
      </c>
      <c r="E13" s="54">
        <v>35</v>
      </c>
      <c r="F13" s="51">
        <f t="shared" si="0"/>
        <v>0.03512731481481481</v>
      </c>
      <c r="G13" s="52" t="s">
        <v>60</v>
      </c>
      <c r="H13" s="51">
        <v>8500</v>
      </c>
      <c r="I13" s="51">
        <f t="shared" si="1"/>
        <v>0.004132625272331154</v>
      </c>
      <c r="J13" s="53"/>
      <c r="K13" s="9">
        <f t="shared" si="2"/>
        <v>0</v>
      </c>
      <c r="L13" s="8">
        <f t="shared" si="3"/>
        <v>5</v>
      </c>
      <c r="M13" s="9">
        <f t="shared" si="4"/>
        <v>57</v>
      </c>
      <c r="N13" s="21">
        <f t="shared" si="5"/>
        <v>10.082372322899506</v>
      </c>
      <c r="O13" s="109">
        <v>127</v>
      </c>
      <c r="P13" s="109">
        <v>146</v>
      </c>
      <c r="Q13" s="109"/>
      <c r="R13" s="58"/>
      <c r="S13" s="49"/>
    </row>
    <row r="14" spans="1:19" ht="12.75">
      <c r="A14" t="s">
        <v>82</v>
      </c>
      <c r="B14" s="42" t="s">
        <v>38</v>
      </c>
      <c r="C14" s="54"/>
      <c r="D14" s="54">
        <v>30</v>
      </c>
      <c r="E14" s="54"/>
      <c r="F14" s="51">
        <f t="shared" si="0"/>
        <v>0.020833333333333332</v>
      </c>
      <c r="G14" s="52" t="s">
        <v>60</v>
      </c>
      <c r="H14" s="51">
        <v>4800</v>
      </c>
      <c r="I14" s="51">
        <f t="shared" si="1"/>
        <v>0.004340277777777777</v>
      </c>
      <c r="J14" s="53"/>
      <c r="K14" s="9">
        <f t="shared" si="2"/>
        <v>0</v>
      </c>
      <c r="L14" s="8">
        <f t="shared" si="3"/>
        <v>6</v>
      </c>
      <c r="M14" s="9">
        <f t="shared" si="4"/>
        <v>15</v>
      </c>
      <c r="N14" s="21">
        <f t="shared" si="5"/>
        <v>9.6</v>
      </c>
      <c r="O14" s="109">
        <v>127</v>
      </c>
      <c r="P14" s="109">
        <v>135</v>
      </c>
      <c r="Q14" s="109"/>
      <c r="R14" s="58"/>
      <c r="S14" s="49"/>
    </row>
    <row r="15" spans="1:19" ht="12.75">
      <c r="A15" t="s">
        <v>82</v>
      </c>
      <c r="B15" s="42" t="s">
        <v>39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109"/>
      <c r="P15" s="109"/>
      <c r="Q15" s="109"/>
      <c r="R15" s="58"/>
      <c r="S15" s="49"/>
    </row>
    <row r="16" spans="1:19" ht="12.75">
      <c r="A16" t="s">
        <v>82</v>
      </c>
      <c r="B16" s="42" t="s">
        <v>40</v>
      </c>
      <c r="C16" s="54">
        <v>1</v>
      </c>
      <c r="D16" s="54">
        <v>0</v>
      </c>
      <c r="E16" s="54">
        <v>49</v>
      </c>
      <c r="F16" s="51">
        <f t="shared" si="0"/>
        <v>0.04223379629629629</v>
      </c>
      <c r="G16" s="52" t="s">
        <v>60</v>
      </c>
      <c r="H16" s="51">
        <v>10500</v>
      </c>
      <c r="I16" s="51">
        <f t="shared" si="1"/>
        <v>0.00402226631393298</v>
      </c>
      <c r="J16" s="53"/>
      <c r="K16" s="9">
        <f t="shared" si="2"/>
        <v>0</v>
      </c>
      <c r="L16" s="8">
        <f t="shared" si="3"/>
        <v>5</v>
      </c>
      <c r="M16" s="9">
        <f t="shared" si="4"/>
        <v>48</v>
      </c>
      <c r="N16" s="21">
        <f t="shared" si="5"/>
        <v>10.359002466429159</v>
      </c>
      <c r="O16" s="109">
        <v>127</v>
      </c>
      <c r="P16" s="109">
        <v>146</v>
      </c>
      <c r="Q16" s="109"/>
      <c r="R16" s="58"/>
      <c r="S16" s="49"/>
    </row>
    <row r="17" spans="1:19" ht="12.75">
      <c r="A17" t="s">
        <v>82</v>
      </c>
      <c r="B17" s="42" t="s">
        <v>41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109"/>
      <c r="P17" s="109"/>
      <c r="Q17" s="109"/>
      <c r="R17" s="58"/>
      <c r="S17" s="49"/>
    </row>
    <row r="18" spans="1:19" ht="12.75">
      <c r="A18" t="s">
        <v>82</v>
      </c>
      <c r="B18" s="42" t="s">
        <v>42</v>
      </c>
      <c r="C18" s="54"/>
      <c r="D18" s="54">
        <v>47</v>
      </c>
      <c r="E18" s="54"/>
      <c r="F18" s="51">
        <f t="shared" si="0"/>
        <v>0.03263888888888889</v>
      </c>
      <c r="G18" s="52" t="s">
        <v>60</v>
      </c>
      <c r="H18" s="51">
        <v>7500</v>
      </c>
      <c r="I18" s="51">
        <f t="shared" si="1"/>
        <v>0.004351851851851852</v>
      </c>
      <c r="J18" s="53"/>
      <c r="K18" s="9">
        <f t="shared" si="2"/>
        <v>0</v>
      </c>
      <c r="L18" s="8">
        <f t="shared" si="3"/>
        <v>6</v>
      </c>
      <c r="M18" s="9">
        <f t="shared" si="4"/>
        <v>16</v>
      </c>
      <c r="N18" s="21">
        <f t="shared" si="5"/>
        <v>9.574468085106382</v>
      </c>
      <c r="O18" s="109">
        <v>127</v>
      </c>
      <c r="P18" s="109">
        <v>135</v>
      </c>
      <c r="Q18" s="109"/>
      <c r="R18" s="58"/>
      <c r="S18" s="49"/>
    </row>
    <row r="19" spans="1:19" ht="12.75">
      <c r="A19" t="s">
        <v>82</v>
      </c>
      <c r="B19" s="42" t="s">
        <v>43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109"/>
      <c r="P19" s="109"/>
      <c r="Q19" s="109"/>
      <c r="R19" s="58"/>
      <c r="S19" s="49"/>
    </row>
    <row r="20" spans="1:19" ht="12.75">
      <c r="A20" t="s">
        <v>82</v>
      </c>
      <c r="B20" s="42" t="s">
        <v>44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109"/>
      <c r="P20" s="109"/>
      <c r="Q20" s="109"/>
      <c r="R20" s="58"/>
      <c r="S20" s="49"/>
    </row>
    <row r="21" spans="1:19" ht="12.75">
      <c r="A21" t="s">
        <v>82</v>
      </c>
      <c r="B21" s="42" t="s">
        <v>45</v>
      </c>
      <c r="C21" s="54"/>
      <c r="D21" s="54"/>
      <c r="E21" s="54"/>
      <c r="F21" s="51">
        <f t="shared" si="0"/>
      </c>
      <c r="G21" s="52"/>
      <c r="H21" s="51"/>
      <c r="I21" s="51">
        <f t="shared" si="1"/>
      </c>
      <c r="J21" s="53"/>
      <c r="K21" s="9">
        <f t="shared" si="2"/>
      </c>
      <c r="L21" s="8">
        <f t="shared" si="3"/>
      </c>
      <c r="M21" s="9">
        <f t="shared" si="4"/>
      </c>
      <c r="N21" s="21">
        <f t="shared" si="5"/>
      </c>
      <c r="O21" s="109"/>
      <c r="P21" s="109"/>
      <c r="Q21" s="109"/>
      <c r="R21" s="58"/>
      <c r="S21" s="49"/>
    </row>
    <row r="22" spans="1:19" ht="12.75">
      <c r="A22" t="s">
        <v>82</v>
      </c>
      <c r="B22" s="42" t="s">
        <v>46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109"/>
      <c r="P22" s="109"/>
      <c r="Q22" s="109"/>
      <c r="R22" s="58"/>
      <c r="S22" s="49"/>
    </row>
    <row r="23" spans="1:19" ht="12.75">
      <c r="A23" t="s">
        <v>82</v>
      </c>
      <c r="B23" s="42" t="s">
        <v>47</v>
      </c>
      <c r="C23" s="54"/>
      <c r="D23" s="54"/>
      <c r="E23" s="54"/>
      <c r="F23" s="51">
        <f t="shared" si="0"/>
      </c>
      <c r="G23" s="52"/>
      <c r="H23" s="51"/>
      <c r="I23" s="51">
        <f t="shared" si="1"/>
      </c>
      <c r="J23" s="53"/>
      <c r="K23" s="9">
        <f t="shared" si="2"/>
      </c>
      <c r="L23" s="8">
        <f t="shared" si="3"/>
      </c>
      <c r="M23" s="9">
        <f t="shared" si="4"/>
      </c>
      <c r="N23" s="21">
        <f t="shared" si="5"/>
      </c>
      <c r="O23" s="109"/>
      <c r="P23" s="109"/>
      <c r="Q23" s="109"/>
      <c r="R23" s="58"/>
      <c r="S23" s="49"/>
    </row>
    <row r="24" spans="1:19" ht="12.75">
      <c r="A24" t="s">
        <v>82</v>
      </c>
      <c r="B24" s="42" t="s">
        <v>48</v>
      </c>
      <c r="C24" s="54"/>
      <c r="D24" s="54">
        <v>51</v>
      </c>
      <c r="E24" s="54">
        <v>38</v>
      </c>
      <c r="F24" s="51">
        <f t="shared" si="0"/>
        <v>0.03585648148148148</v>
      </c>
      <c r="G24" s="52" t="s">
        <v>60</v>
      </c>
      <c r="H24" s="51">
        <v>8700</v>
      </c>
      <c r="I24" s="51">
        <f t="shared" si="1"/>
        <v>0.004121434653043848</v>
      </c>
      <c r="J24" s="53"/>
      <c r="K24" s="9">
        <f t="shared" si="2"/>
        <v>0</v>
      </c>
      <c r="L24" s="8">
        <f t="shared" si="3"/>
        <v>5</v>
      </c>
      <c r="M24" s="9">
        <f t="shared" si="4"/>
        <v>56</v>
      </c>
      <c r="N24" s="21">
        <f t="shared" si="5"/>
        <v>10.10974822466107</v>
      </c>
      <c r="O24" s="109">
        <v>127</v>
      </c>
      <c r="P24" s="109">
        <v>146</v>
      </c>
      <c r="Q24" s="109"/>
      <c r="R24" s="58"/>
      <c r="S24" s="49"/>
    </row>
    <row r="25" spans="1:19" ht="12.75">
      <c r="A25" t="s">
        <v>82</v>
      </c>
      <c r="B25" s="42" t="s">
        <v>49</v>
      </c>
      <c r="C25" s="54">
        <v>1</v>
      </c>
      <c r="D25" s="54">
        <v>27</v>
      </c>
      <c r="E25" s="54">
        <v>30</v>
      </c>
      <c r="F25" s="51">
        <f t="shared" si="0"/>
        <v>0.06076388888888889</v>
      </c>
      <c r="G25" s="52" t="s">
        <v>60</v>
      </c>
      <c r="H25" s="51">
        <v>15000</v>
      </c>
      <c r="I25" s="51">
        <f t="shared" si="1"/>
        <v>0.004050925925925926</v>
      </c>
      <c r="J25" s="53"/>
      <c r="K25" s="9">
        <f t="shared" si="2"/>
        <v>0</v>
      </c>
      <c r="L25" s="8">
        <f t="shared" si="3"/>
        <v>5</v>
      </c>
      <c r="M25" s="9">
        <f t="shared" si="4"/>
        <v>50</v>
      </c>
      <c r="N25" s="21">
        <f t="shared" si="5"/>
        <v>10.285714285714286</v>
      </c>
      <c r="O25" s="109">
        <v>127</v>
      </c>
      <c r="P25" s="109">
        <v>146</v>
      </c>
      <c r="Q25" s="109"/>
      <c r="R25" s="58"/>
      <c r="S25" s="49"/>
    </row>
    <row r="26" spans="1:19" ht="12.75">
      <c r="A26" t="s">
        <v>82</v>
      </c>
      <c r="B26" s="42" t="s">
        <v>50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109"/>
      <c r="P26" s="109"/>
      <c r="Q26" s="109"/>
      <c r="R26" s="58"/>
      <c r="S26" s="49"/>
    </row>
    <row r="27" spans="1:19" ht="12.75">
      <c r="A27" t="s">
        <v>82</v>
      </c>
      <c r="B27" s="42" t="s">
        <v>51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109"/>
      <c r="P27" s="109"/>
      <c r="Q27" s="109"/>
      <c r="R27" s="58"/>
      <c r="S27" s="49"/>
    </row>
    <row r="28" spans="1:19" ht="12.75">
      <c r="A28" t="s">
        <v>82</v>
      </c>
      <c r="B28" s="42" t="s">
        <v>52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109"/>
      <c r="P28" s="109"/>
      <c r="Q28" s="109"/>
      <c r="R28" s="58"/>
      <c r="S28" s="49"/>
    </row>
    <row r="29" spans="1:19" ht="12.75">
      <c r="A29" t="s">
        <v>82</v>
      </c>
      <c r="B29" s="42" t="s">
        <v>53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109"/>
      <c r="P29" s="109"/>
      <c r="Q29" s="109"/>
      <c r="R29" s="58"/>
      <c r="S29" s="49"/>
    </row>
    <row r="30" spans="1:19" ht="12.75">
      <c r="A30" t="s">
        <v>82</v>
      </c>
      <c r="B30" s="42" t="s">
        <v>54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109"/>
      <c r="P30" s="109"/>
      <c r="Q30" s="109"/>
      <c r="R30" s="58"/>
      <c r="S30" s="49" t="s">
        <v>131</v>
      </c>
    </row>
    <row r="31" spans="1:19" ht="12.75">
      <c r="A31" t="s">
        <v>82</v>
      </c>
      <c r="B31" s="42" t="s">
        <v>55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109"/>
      <c r="P31" s="109"/>
      <c r="Q31" s="109"/>
      <c r="R31" s="58"/>
      <c r="S31" s="49"/>
    </row>
    <row r="32" spans="1:19" ht="12.75">
      <c r="A32" t="s">
        <v>82</v>
      </c>
      <c r="B32" s="42" t="s">
        <v>56</v>
      </c>
      <c r="C32" s="54"/>
      <c r="D32" s="54">
        <v>45</v>
      </c>
      <c r="E32" s="54"/>
      <c r="F32" s="51">
        <f t="shared" si="0"/>
        <v>0.03125</v>
      </c>
      <c r="G32" s="52" t="s">
        <v>60</v>
      </c>
      <c r="H32" s="51">
        <v>7700</v>
      </c>
      <c r="I32" s="51">
        <f t="shared" si="1"/>
        <v>0.004058441558441558</v>
      </c>
      <c r="J32" s="53"/>
      <c r="K32" s="9">
        <f t="shared" si="2"/>
        <v>0</v>
      </c>
      <c r="L32" s="8">
        <f t="shared" si="3"/>
        <v>5</v>
      </c>
      <c r="M32" s="9">
        <f t="shared" si="4"/>
        <v>51</v>
      </c>
      <c r="N32" s="21">
        <f t="shared" si="5"/>
        <v>10.266666666666666</v>
      </c>
      <c r="O32" s="109">
        <v>127</v>
      </c>
      <c r="P32" s="109">
        <v>146</v>
      </c>
      <c r="Q32" s="109"/>
      <c r="R32" s="58"/>
      <c r="S32" s="49"/>
    </row>
    <row r="34" ht="13.5" thickBot="1"/>
    <row r="35" spans="2:19" ht="13.5" thickBot="1">
      <c r="B35" s="41" t="s">
        <v>24</v>
      </c>
      <c r="C35" s="16">
        <f>HOUR(F35)</f>
        <v>11</v>
      </c>
      <c r="D35" s="16">
        <f>MINUTE(F35)</f>
        <v>0</v>
      </c>
      <c r="E35" s="17">
        <f>SECOND(F35)</f>
        <v>18</v>
      </c>
      <c r="F35" s="2">
        <f>SUMIF($G$3:$G$32,"x",F3:F32)</f>
        <v>0.4585416666666666</v>
      </c>
      <c r="G35" s="29">
        <f>COUNTIF(G3:G32,"x")</f>
        <v>11</v>
      </c>
      <c r="H35" s="2">
        <f>SUMIF($G$3:$G$32,"x",H3:H32)</f>
        <v>111100</v>
      </c>
      <c r="I35" s="2">
        <f>AVERAGE(I3:I33)</f>
        <v>0.0041354617814809555</v>
      </c>
      <c r="K35" s="13">
        <f>IF(G35=0,"",HOUR(I35))</f>
        <v>0</v>
      </c>
      <c r="L35" s="14">
        <f>IF(G35=0,"",MINUTE(I35))</f>
        <v>5</v>
      </c>
      <c r="M35" s="14">
        <f>IF(G35=0,"",SECOND(I35))</f>
        <v>57</v>
      </c>
      <c r="N35" s="23">
        <f>IF(G35=0,"",($T$2*H35/F35)/1000)</f>
        <v>10.095411176737846</v>
      </c>
      <c r="O35" s="115"/>
      <c r="P35" s="115"/>
      <c r="Q35" s="115"/>
      <c r="R35" s="60">
        <f>SUM(R17:R32)</f>
        <v>0</v>
      </c>
      <c r="S35" s="15" t="s">
        <v>11</v>
      </c>
    </row>
  </sheetData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14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A1" sqref="A1:A16384"/>
    </sheetView>
  </sheetViews>
  <sheetFormatPr defaultColWidth="11.421875" defaultRowHeight="12.75"/>
  <cols>
    <col min="1" max="1" width="4.00390625" style="0" hidden="1" customWidth="1"/>
    <col min="2" max="2" width="5.00390625" style="40" bestFit="1" customWidth="1"/>
    <col min="3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6" width="5.57421875" style="1" bestFit="1" customWidth="1"/>
    <col min="17" max="17" width="5.00390625" style="22" customWidth="1"/>
    <col min="18" max="18" width="4.8515625" style="59" bestFit="1" customWidth="1"/>
    <col min="19" max="19" width="11.7109375" style="0" bestFit="1" customWidth="1"/>
    <col min="20" max="20" width="12.00390625" style="1" bestFit="1" customWidth="1"/>
    <col min="21" max="16384" width="2.8515625" style="0" customWidth="1"/>
  </cols>
  <sheetData>
    <row r="1" spans="2:20" ht="13.5" thickBot="1">
      <c r="B1" s="39"/>
      <c r="C1" s="117" t="s">
        <v>0</v>
      </c>
      <c r="D1" s="118"/>
      <c r="E1" s="119"/>
      <c r="F1" s="3"/>
      <c r="G1" s="3"/>
      <c r="H1" s="18"/>
      <c r="I1" s="4"/>
      <c r="J1" s="45"/>
      <c r="K1" s="120" t="s">
        <v>9</v>
      </c>
      <c r="L1" s="121"/>
      <c r="M1" s="122"/>
      <c r="N1" s="19" t="s">
        <v>14</v>
      </c>
      <c r="O1" s="113"/>
      <c r="P1" s="113"/>
      <c r="Q1" s="19"/>
      <c r="R1" s="56"/>
      <c r="S1" s="6"/>
      <c r="T1" s="1" t="s">
        <v>13</v>
      </c>
    </row>
    <row r="2" spans="2:20" ht="26.25" thickBot="1">
      <c r="B2" s="24" t="s">
        <v>58</v>
      </c>
      <c r="C2" s="10" t="s">
        <v>7</v>
      </c>
      <c r="D2" s="10" t="s">
        <v>8</v>
      </c>
      <c r="E2" s="10" t="s">
        <v>6</v>
      </c>
      <c r="F2" s="5" t="s">
        <v>4</v>
      </c>
      <c r="G2" s="43" t="s">
        <v>59</v>
      </c>
      <c r="H2" s="44" t="s">
        <v>61</v>
      </c>
      <c r="I2" s="5" t="s">
        <v>5</v>
      </c>
      <c r="J2" s="46" t="s">
        <v>2</v>
      </c>
      <c r="K2" s="11" t="s">
        <v>7</v>
      </c>
      <c r="L2" s="12" t="s">
        <v>8</v>
      </c>
      <c r="M2" s="12" t="s">
        <v>6</v>
      </c>
      <c r="N2" s="20"/>
      <c r="O2" s="114" t="s">
        <v>62</v>
      </c>
      <c r="P2" s="114" t="s">
        <v>63</v>
      </c>
      <c r="Q2" s="55" t="s">
        <v>129</v>
      </c>
      <c r="R2" s="57" t="s">
        <v>74</v>
      </c>
      <c r="S2" s="7" t="s">
        <v>10</v>
      </c>
      <c r="T2" s="2">
        <f>TIME(1,0,0)</f>
        <v>0.041666666666666664</v>
      </c>
    </row>
    <row r="3" spans="1:19" ht="12.75">
      <c r="A3" t="s">
        <v>21</v>
      </c>
      <c r="B3" s="42" t="s">
        <v>27</v>
      </c>
      <c r="C3" s="50">
        <v>1</v>
      </c>
      <c r="D3" s="50">
        <v>25</v>
      </c>
      <c r="E3" s="50">
        <v>40</v>
      </c>
      <c r="F3" s="51">
        <f aca="true" t="shared" si="0" ref="F3:F33">IF(G3="x",TIME(C3,D3,E3),"")</f>
        <v>0.05949074074074074</v>
      </c>
      <c r="G3" s="52" t="s">
        <v>60</v>
      </c>
      <c r="H3" s="51">
        <v>15000</v>
      </c>
      <c r="I3" s="51">
        <f aca="true" t="shared" si="1" ref="I3:I33">IF(G3="x",F3*1000/H3,"")</f>
        <v>0.003966049382716049</v>
      </c>
      <c r="J3" s="53"/>
      <c r="K3" s="9">
        <f aca="true" t="shared" si="2" ref="K3:K33">IF(G3="x",HOUR(I3),"")</f>
        <v>0</v>
      </c>
      <c r="L3" s="8">
        <f aca="true" t="shared" si="3" ref="L3:L33">IF(G3="x",MINUTE(I3),"")</f>
        <v>5</v>
      </c>
      <c r="M3" s="9">
        <f aca="true" t="shared" si="4" ref="M3:M33">IF(G3="x",SECOND(I3),"")</f>
        <v>43</v>
      </c>
      <c r="N3" s="21">
        <f aca="true" t="shared" si="5" ref="N3:N33">IF(G3="x",($T$2*H3/F3)/1000,"")</f>
        <v>10.505836575875486</v>
      </c>
      <c r="O3" s="109"/>
      <c r="P3" s="109"/>
      <c r="Q3" s="47"/>
      <c r="R3" s="58"/>
      <c r="S3" s="48"/>
    </row>
    <row r="4" spans="1:19" ht="12.75">
      <c r="A4" t="s">
        <v>21</v>
      </c>
      <c r="B4" s="42" t="s">
        <v>28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109"/>
      <c r="P4" s="109"/>
      <c r="Q4" s="47"/>
      <c r="R4" s="58"/>
      <c r="S4" s="49"/>
    </row>
    <row r="5" spans="1:19" ht="12.75">
      <c r="A5" t="s">
        <v>21</v>
      </c>
      <c r="B5" s="42" t="s">
        <v>29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109"/>
      <c r="P5" s="109"/>
      <c r="Q5" s="47"/>
      <c r="R5" s="58"/>
      <c r="S5" s="49"/>
    </row>
    <row r="6" spans="1:19" ht="12.75">
      <c r="A6" t="s">
        <v>21</v>
      </c>
      <c r="B6" s="42" t="s">
        <v>30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109"/>
      <c r="P6" s="109"/>
      <c r="Q6" s="47"/>
      <c r="R6" s="58"/>
      <c r="S6" s="49"/>
    </row>
    <row r="7" spans="1:19" ht="12.75">
      <c r="A7" t="s">
        <v>21</v>
      </c>
      <c r="B7" s="42" t="s">
        <v>31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 t="shared" si="5"/>
      </c>
      <c r="O7" s="109"/>
      <c r="P7" s="109"/>
      <c r="Q7" s="47"/>
      <c r="R7" s="58"/>
      <c r="S7" s="49"/>
    </row>
    <row r="8" spans="1:19" ht="12.75">
      <c r="A8" t="s">
        <v>21</v>
      </c>
      <c r="B8" s="42" t="s">
        <v>32</v>
      </c>
      <c r="C8" s="54"/>
      <c r="D8" s="54">
        <v>53</v>
      </c>
      <c r="E8" s="54">
        <v>19</v>
      </c>
      <c r="F8" s="51">
        <f t="shared" si="0"/>
        <v>0.03702546296296296</v>
      </c>
      <c r="G8" s="52" t="s">
        <v>60</v>
      </c>
      <c r="H8" s="51">
        <v>9000</v>
      </c>
      <c r="I8" s="51">
        <f t="shared" si="1"/>
        <v>0.004113940329218107</v>
      </c>
      <c r="J8" s="53"/>
      <c r="K8" s="9">
        <f t="shared" si="2"/>
        <v>0</v>
      </c>
      <c r="L8" s="8">
        <f t="shared" si="3"/>
        <v>5</v>
      </c>
      <c r="M8" s="9">
        <f t="shared" si="4"/>
        <v>55</v>
      </c>
      <c r="N8" s="21">
        <f t="shared" si="5"/>
        <v>10.128165051578618</v>
      </c>
      <c r="O8" s="109">
        <v>126</v>
      </c>
      <c r="P8" s="109">
        <v>146</v>
      </c>
      <c r="Q8" s="47"/>
      <c r="R8" s="58"/>
      <c r="S8" s="49"/>
    </row>
    <row r="9" spans="1:19" ht="12.75">
      <c r="A9" t="s">
        <v>21</v>
      </c>
      <c r="B9" s="42" t="s">
        <v>33</v>
      </c>
      <c r="C9" s="54"/>
      <c r="D9" s="54">
        <v>49</v>
      </c>
      <c r="E9" s="54">
        <v>30</v>
      </c>
      <c r="F9" s="51">
        <f t="shared" si="0"/>
        <v>0.034374999999999996</v>
      </c>
      <c r="G9" s="52" t="s">
        <v>60</v>
      </c>
      <c r="H9" s="51">
        <v>8000</v>
      </c>
      <c r="I9" s="51">
        <f t="shared" si="1"/>
        <v>0.0042968749999999995</v>
      </c>
      <c r="J9" s="53"/>
      <c r="K9" s="9">
        <f t="shared" si="2"/>
        <v>0</v>
      </c>
      <c r="L9" s="8">
        <f t="shared" si="3"/>
        <v>6</v>
      </c>
      <c r="M9" s="9">
        <f t="shared" si="4"/>
        <v>11</v>
      </c>
      <c r="N9" s="21">
        <f t="shared" si="5"/>
        <v>9.696969696969697</v>
      </c>
      <c r="O9" s="109">
        <v>126</v>
      </c>
      <c r="P9" s="109">
        <v>140</v>
      </c>
      <c r="Q9" s="47"/>
      <c r="R9" s="58"/>
      <c r="S9" s="49"/>
    </row>
    <row r="10" spans="1:19" ht="12.75">
      <c r="A10" t="s">
        <v>21</v>
      </c>
      <c r="B10" s="42" t="s">
        <v>34</v>
      </c>
      <c r="C10" s="54">
        <v>1</v>
      </c>
      <c r="D10" s="54">
        <v>36</v>
      </c>
      <c r="E10" s="54">
        <v>10</v>
      </c>
      <c r="F10" s="51">
        <f t="shared" si="0"/>
        <v>0.06678240740740742</v>
      </c>
      <c r="G10" s="52" t="s">
        <v>60</v>
      </c>
      <c r="H10" s="51">
        <v>17700</v>
      </c>
      <c r="I10" s="51">
        <f t="shared" si="1"/>
        <v>0.0037730173676501365</v>
      </c>
      <c r="J10" s="53"/>
      <c r="K10" s="9">
        <f t="shared" si="2"/>
        <v>0</v>
      </c>
      <c r="L10" s="8">
        <f t="shared" si="3"/>
        <v>5</v>
      </c>
      <c r="M10" s="9">
        <f t="shared" si="4"/>
        <v>26</v>
      </c>
      <c r="N10" s="21">
        <f t="shared" si="5"/>
        <v>11.04332755632582</v>
      </c>
      <c r="O10" s="109">
        <v>126</v>
      </c>
      <c r="P10" s="109">
        <v>166</v>
      </c>
      <c r="Q10" s="47"/>
      <c r="R10" s="58"/>
      <c r="S10" s="49"/>
    </row>
    <row r="11" spans="1:19" ht="12.75">
      <c r="A11" t="s">
        <v>21</v>
      </c>
      <c r="B11" s="42" t="s">
        <v>35</v>
      </c>
      <c r="C11" s="54"/>
      <c r="D11" s="54">
        <v>45</v>
      </c>
      <c r="E11" s="54"/>
      <c r="F11" s="51">
        <f t="shared" si="0"/>
      </c>
      <c r="G11" s="52"/>
      <c r="H11" s="51">
        <v>17700</v>
      </c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109"/>
      <c r="P11" s="109"/>
      <c r="Q11" s="47"/>
      <c r="R11" s="58"/>
      <c r="S11" s="49" t="s">
        <v>132</v>
      </c>
    </row>
    <row r="12" spans="1:19" ht="12.75">
      <c r="A12" t="s">
        <v>21</v>
      </c>
      <c r="B12" s="42" t="s">
        <v>36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109"/>
      <c r="P12" s="109"/>
      <c r="Q12" s="47"/>
      <c r="R12" s="58"/>
      <c r="S12" s="49"/>
    </row>
    <row r="13" spans="1:19" ht="12.75">
      <c r="A13" t="s">
        <v>21</v>
      </c>
      <c r="B13" s="42" t="s">
        <v>37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109"/>
      <c r="P13" s="109"/>
      <c r="Q13" s="47"/>
      <c r="R13" s="58"/>
      <c r="S13" s="49"/>
    </row>
    <row r="14" spans="1:19" ht="12.75">
      <c r="A14" t="s">
        <v>21</v>
      </c>
      <c r="B14" s="42" t="s">
        <v>38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109"/>
      <c r="P14" s="109"/>
      <c r="Q14" s="47"/>
      <c r="R14" s="58"/>
      <c r="S14" s="49"/>
    </row>
    <row r="15" spans="1:19" ht="12.75">
      <c r="A15" t="s">
        <v>21</v>
      </c>
      <c r="B15" s="42" t="s">
        <v>39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109"/>
      <c r="P15" s="109"/>
      <c r="Q15" s="47"/>
      <c r="R15" s="58"/>
      <c r="S15" s="49"/>
    </row>
    <row r="16" spans="1:19" ht="12.75">
      <c r="A16" t="s">
        <v>21</v>
      </c>
      <c r="B16" s="42" t="s">
        <v>40</v>
      </c>
      <c r="C16" s="54">
        <v>1</v>
      </c>
      <c r="D16" s="54">
        <v>57</v>
      </c>
      <c r="E16" s="54">
        <v>0</v>
      </c>
      <c r="F16" s="51">
        <f t="shared" si="0"/>
        <v>0.08125</v>
      </c>
      <c r="G16" s="52" t="s">
        <v>60</v>
      </c>
      <c r="H16" s="51">
        <v>21100</v>
      </c>
      <c r="I16" s="51">
        <f t="shared" si="1"/>
        <v>0.0038507109004739335</v>
      </c>
      <c r="J16" s="53"/>
      <c r="K16" s="9">
        <f t="shared" si="2"/>
        <v>0</v>
      </c>
      <c r="L16" s="8">
        <f t="shared" si="3"/>
        <v>5</v>
      </c>
      <c r="M16" s="9">
        <f t="shared" si="4"/>
        <v>33</v>
      </c>
      <c r="N16" s="21">
        <f t="shared" si="5"/>
        <v>10.820512820512821</v>
      </c>
      <c r="O16" s="109"/>
      <c r="P16" s="109"/>
      <c r="Q16" s="47"/>
      <c r="R16" s="58">
        <v>60</v>
      </c>
      <c r="S16" s="49" t="s">
        <v>133</v>
      </c>
    </row>
    <row r="17" spans="1:19" ht="12.75">
      <c r="A17" t="s">
        <v>21</v>
      </c>
      <c r="B17" s="42" t="s">
        <v>41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109"/>
      <c r="P17" s="109"/>
      <c r="Q17" s="47"/>
      <c r="R17" s="58"/>
      <c r="S17" s="49"/>
    </row>
    <row r="18" spans="1:19" ht="12.75">
      <c r="A18" t="s">
        <v>21</v>
      </c>
      <c r="B18" s="42" t="s">
        <v>42</v>
      </c>
      <c r="C18" s="54"/>
      <c r="D18" s="54">
        <v>55</v>
      </c>
      <c r="E18" s="54"/>
      <c r="F18" s="51">
        <f t="shared" si="0"/>
        <v>0.03819444444444444</v>
      </c>
      <c r="G18" s="52" t="s">
        <v>60</v>
      </c>
      <c r="H18" s="51">
        <v>9000</v>
      </c>
      <c r="I18" s="51">
        <f t="shared" si="1"/>
        <v>0.004243827160493827</v>
      </c>
      <c r="J18" s="53"/>
      <c r="K18" s="9">
        <f t="shared" si="2"/>
        <v>0</v>
      </c>
      <c r="L18" s="8">
        <f t="shared" si="3"/>
        <v>6</v>
      </c>
      <c r="M18" s="9">
        <f t="shared" si="4"/>
        <v>7</v>
      </c>
      <c r="N18" s="21">
        <f t="shared" si="5"/>
        <v>9.81818181818182</v>
      </c>
      <c r="O18" s="109">
        <v>126</v>
      </c>
      <c r="P18" s="109">
        <v>136</v>
      </c>
      <c r="Q18" s="47"/>
      <c r="R18" s="58"/>
      <c r="S18" s="49"/>
    </row>
    <row r="19" spans="1:19" ht="12.75">
      <c r="A19" t="s">
        <v>21</v>
      </c>
      <c r="B19" s="42" t="s">
        <v>43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109"/>
      <c r="P19" s="109"/>
      <c r="Q19" s="47"/>
      <c r="R19" s="58"/>
      <c r="S19" s="49"/>
    </row>
    <row r="20" spans="1:19" ht="12.75">
      <c r="A20" t="s">
        <v>21</v>
      </c>
      <c r="B20" s="42" t="s">
        <v>44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109"/>
      <c r="P20" s="109"/>
      <c r="Q20" s="47"/>
      <c r="R20" s="58"/>
      <c r="S20" s="49"/>
    </row>
    <row r="21" spans="1:19" ht="12.75">
      <c r="A21" t="s">
        <v>21</v>
      </c>
      <c r="B21" s="42" t="s">
        <v>45</v>
      </c>
      <c r="C21" s="54"/>
      <c r="D21" s="54"/>
      <c r="E21" s="54"/>
      <c r="F21" s="51">
        <f t="shared" si="0"/>
      </c>
      <c r="G21" s="52"/>
      <c r="H21" s="51"/>
      <c r="I21" s="51">
        <f t="shared" si="1"/>
      </c>
      <c r="J21" s="53"/>
      <c r="K21" s="9">
        <f t="shared" si="2"/>
      </c>
      <c r="L21" s="8">
        <f t="shared" si="3"/>
      </c>
      <c r="M21" s="9">
        <f t="shared" si="4"/>
      </c>
      <c r="N21" s="21">
        <f t="shared" si="5"/>
      </c>
      <c r="O21" s="109"/>
      <c r="P21" s="109"/>
      <c r="Q21" s="47"/>
      <c r="R21" s="58"/>
      <c r="S21" s="49"/>
    </row>
    <row r="22" spans="1:19" ht="12.75">
      <c r="A22" t="s">
        <v>21</v>
      </c>
      <c r="B22" s="42" t="s">
        <v>46</v>
      </c>
      <c r="C22" s="54"/>
      <c r="D22" s="54">
        <v>53</v>
      </c>
      <c r="E22" s="54"/>
      <c r="F22" s="51">
        <f t="shared" si="0"/>
        <v>0.03680555555555556</v>
      </c>
      <c r="G22" s="52" t="s">
        <v>60</v>
      </c>
      <c r="H22" s="51">
        <v>8500</v>
      </c>
      <c r="I22" s="51">
        <f t="shared" si="1"/>
        <v>0.004330065359477124</v>
      </c>
      <c r="J22" s="53"/>
      <c r="K22" s="9">
        <f t="shared" si="2"/>
        <v>0</v>
      </c>
      <c r="L22" s="8">
        <f t="shared" si="3"/>
        <v>6</v>
      </c>
      <c r="M22" s="9">
        <f t="shared" si="4"/>
        <v>14</v>
      </c>
      <c r="N22" s="21">
        <f t="shared" si="5"/>
        <v>9.622641509433961</v>
      </c>
      <c r="O22" s="109">
        <v>120</v>
      </c>
      <c r="P22" s="109">
        <v>126</v>
      </c>
      <c r="Q22" s="47"/>
      <c r="R22" s="58"/>
      <c r="S22" s="49"/>
    </row>
    <row r="23" spans="1:19" ht="12.75">
      <c r="A23" t="s">
        <v>21</v>
      </c>
      <c r="B23" s="42" t="s">
        <v>47</v>
      </c>
      <c r="C23" s="54"/>
      <c r="D23" s="54">
        <v>52</v>
      </c>
      <c r="E23" s="54"/>
      <c r="F23" s="51">
        <f t="shared" si="0"/>
        <v>0.036111111111111115</v>
      </c>
      <c r="G23" s="52" t="s">
        <v>60</v>
      </c>
      <c r="H23" s="51">
        <v>8500</v>
      </c>
      <c r="I23" s="51">
        <f t="shared" si="1"/>
        <v>0.004248366013071896</v>
      </c>
      <c r="J23" s="53"/>
      <c r="K23" s="9">
        <f t="shared" si="2"/>
        <v>0</v>
      </c>
      <c r="L23" s="8">
        <f t="shared" si="3"/>
        <v>6</v>
      </c>
      <c r="M23" s="9">
        <f t="shared" si="4"/>
        <v>7</v>
      </c>
      <c r="N23" s="21">
        <f t="shared" si="5"/>
        <v>9.807692307692305</v>
      </c>
      <c r="O23" s="109">
        <v>126</v>
      </c>
      <c r="P23" s="109">
        <v>136</v>
      </c>
      <c r="Q23" s="47"/>
      <c r="R23" s="58"/>
      <c r="S23" s="49"/>
    </row>
    <row r="24" spans="1:19" ht="12.75">
      <c r="A24" t="s">
        <v>21</v>
      </c>
      <c r="B24" s="42" t="s">
        <v>48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109"/>
      <c r="P24" s="109"/>
      <c r="Q24" s="47"/>
      <c r="R24" s="58"/>
      <c r="S24" s="49"/>
    </row>
    <row r="25" spans="1:19" ht="12.75">
      <c r="A25" t="s">
        <v>21</v>
      </c>
      <c r="B25" s="42" t="s">
        <v>49</v>
      </c>
      <c r="C25" s="54"/>
      <c r="D25" s="54"/>
      <c r="E25" s="54"/>
      <c r="F25" s="51">
        <f t="shared" si="0"/>
      </c>
      <c r="G25" s="52"/>
      <c r="H25" s="51"/>
      <c r="I25" s="51">
        <f t="shared" si="1"/>
      </c>
      <c r="J25" s="53"/>
      <c r="K25" s="9">
        <f t="shared" si="2"/>
      </c>
      <c r="L25" s="8">
        <f t="shared" si="3"/>
      </c>
      <c r="M25" s="9">
        <f t="shared" si="4"/>
      </c>
      <c r="N25" s="21">
        <f t="shared" si="5"/>
      </c>
      <c r="O25" s="109"/>
      <c r="P25" s="109"/>
      <c r="Q25" s="47"/>
      <c r="R25" s="58"/>
      <c r="S25" s="49"/>
    </row>
    <row r="26" spans="1:19" ht="12.75">
      <c r="A26" t="s">
        <v>21</v>
      </c>
      <c r="B26" s="42" t="s">
        <v>50</v>
      </c>
      <c r="C26" s="54"/>
      <c r="D26" s="54">
        <v>41</v>
      </c>
      <c r="E26" s="54"/>
      <c r="F26" s="51">
        <f t="shared" si="0"/>
        <v>0.02847222222222222</v>
      </c>
      <c r="G26" s="52" t="s">
        <v>60</v>
      </c>
      <c r="H26" s="51">
        <v>7000</v>
      </c>
      <c r="I26" s="51">
        <f t="shared" si="1"/>
        <v>0.004067460317460318</v>
      </c>
      <c r="J26" s="53"/>
      <c r="K26" s="9">
        <f t="shared" si="2"/>
        <v>0</v>
      </c>
      <c r="L26" s="8">
        <f t="shared" si="3"/>
        <v>5</v>
      </c>
      <c r="M26" s="9">
        <f t="shared" si="4"/>
        <v>51</v>
      </c>
      <c r="N26" s="21">
        <f t="shared" si="5"/>
        <v>10.243902439024389</v>
      </c>
      <c r="O26" s="109">
        <v>126</v>
      </c>
      <c r="P26" s="109">
        <v>173</v>
      </c>
      <c r="Q26" s="47"/>
      <c r="R26" s="58"/>
      <c r="S26" s="49"/>
    </row>
    <row r="27" spans="1:19" ht="12.75">
      <c r="A27" t="s">
        <v>21</v>
      </c>
      <c r="B27" s="42" t="s">
        <v>51</v>
      </c>
      <c r="C27" s="54"/>
      <c r="D27" s="54">
        <v>44</v>
      </c>
      <c r="E27" s="54">
        <v>22</v>
      </c>
      <c r="F27" s="51">
        <f t="shared" si="0"/>
        <v>0.030810185185185187</v>
      </c>
      <c r="G27" s="52" t="s">
        <v>60</v>
      </c>
      <c r="H27" s="51">
        <v>10000</v>
      </c>
      <c r="I27" s="51">
        <f t="shared" si="1"/>
        <v>0.0030810185185185185</v>
      </c>
      <c r="J27" s="53"/>
      <c r="K27" s="9">
        <f t="shared" si="2"/>
        <v>0</v>
      </c>
      <c r="L27" s="8">
        <f t="shared" si="3"/>
        <v>4</v>
      </c>
      <c r="M27" s="9">
        <f t="shared" si="4"/>
        <v>26</v>
      </c>
      <c r="N27" s="21">
        <f t="shared" si="5"/>
        <v>13.523666416228398</v>
      </c>
      <c r="O27" s="109"/>
      <c r="P27" s="109"/>
      <c r="Q27" s="47" t="s">
        <v>134</v>
      </c>
      <c r="R27" s="58">
        <v>30</v>
      </c>
      <c r="S27" s="49" t="s">
        <v>137</v>
      </c>
    </row>
    <row r="28" spans="1:19" ht="12.75">
      <c r="A28" t="s">
        <v>21</v>
      </c>
      <c r="B28" s="42" t="s">
        <v>52</v>
      </c>
      <c r="C28" s="54"/>
      <c r="D28" s="54">
        <v>57</v>
      </c>
      <c r="E28" s="54">
        <v>30</v>
      </c>
      <c r="F28" s="51">
        <f t="shared" si="0"/>
        <v>0.03993055555555556</v>
      </c>
      <c r="G28" s="52" t="s">
        <v>60</v>
      </c>
      <c r="H28" s="51">
        <v>9500</v>
      </c>
      <c r="I28" s="51">
        <f t="shared" si="1"/>
        <v>0.004203216374269006</v>
      </c>
      <c r="J28" s="53"/>
      <c r="K28" s="9">
        <f t="shared" si="2"/>
        <v>0</v>
      </c>
      <c r="L28" s="8">
        <f t="shared" si="3"/>
        <v>6</v>
      </c>
      <c r="M28" s="9">
        <f t="shared" si="4"/>
        <v>3</v>
      </c>
      <c r="N28" s="21">
        <f t="shared" si="5"/>
        <v>9.913043478260867</v>
      </c>
      <c r="O28" s="109">
        <v>126</v>
      </c>
      <c r="P28" s="109">
        <v>136</v>
      </c>
      <c r="Q28" s="47"/>
      <c r="R28" s="58"/>
      <c r="S28" s="49"/>
    </row>
    <row r="29" spans="1:19" ht="12.75">
      <c r="A29" t="s">
        <v>21</v>
      </c>
      <c r="B29" s="42" t="s">
        <v>53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109"/>
      <c r="P29" s="109"/>
      <c r="Q29" s="47"/>
      <c r="R29" s="58"/>
      <c r="S29" s="49"/>
    </row>
    <row r="30" spans="1:19" ht="12.75">
      <c r="A30" t="s">
        <v>21</v>
      </c>
      <c r="B30" s="42" t="s">
        <v>54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109"/>
      <c r="P30" s="109"/>
      <c r="Q30" s="47"/>
      <c r="R30" s="58"/>
      <c r="S30" s="49"/>
    </row>
    <row r="31" spans="1:19" ht="12.75">
      <c r="A31" t="s">
        <v>21</v>
      </c>
      <c r="B31" s="42" t="s">
        <v>55</v>
      </c>
      <c r="C31" s="54"/>
      <c r="D31" s="54">
        <v>52</v>
      </c>
      <c r="E31" s="54">
        <v>30</v>
      </c>
      <c r="F31" s="51">
        <f t="shared" si="0"/>
        <v>0.036458333333333336</v>
      </c>
      <c r="G31" s="52" t="s">
        <v>60</v>
      </c>
      <c r="H31" s="51">
        <v>9000</v>
      </c>
      <c r="I31" s="51">
        <f t="shared" si="1"/>
        <v>0.004050925925925927</v>
      </c>
      <c r="J31" s="53"/>
      <c r="K31" s="9">
        <f t="shared" si="2"/>
        <v>0</v>
      </c>
      <c r="L31" s="8">
        <f t="shared" si="3"/>
        <v>5</v>
      </c>
      <c r="M31" s="9">
        <f t="shared" si="4"/>
        <v>50</v>
      </c>
      <c r="N31" s="21">
        <f t="shared" si="5"/>
        <v>10.285714285714285</v>
      </c>
      <c r="O31" s="109">
        <v>126</v>
      </c>
      <c r="P31" s="109">
        <v>136</v>
      </c>
      <c r="Q31" s="47"/>
      <c r="R31" s="58"/>
      <c r="S31" s="49"/>
    </row>
    <row r="32" spans="1:19" ht="12.75">
      <c r="A32" t="s">
        <v>21</v>
      </c>
      <c r="B32" s="42" t="s">
        <v>56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109"/>
      <c r="P32" s="109"/>
      <c r="Q32" s="47"/>
      <c r="R32" s="58"/>
      <c r="S32" s="49"/>
    </row>
    <row r="33" spans="1:19" ht="12.75">
      <c r="A33" t="s">
        <v>21</v>
      </c>
      <c r="B33" s="42" t="s">
        <v>57</v>
      </c>
      <c r="C33" s="54"/>
      <c r="D33" s="54"/>
      <c r="E33" s="54"/>
      <c r="F33" s="51">
        <f t="shared" si="0"/>
      </c>
      <c r="G33" s="52"/>
      <c r="H33" s="51"/>
      <c r="I33" s="51">
        <f t="shared" si="1"/>
      </c>
      <c r="J33" s="53"/>
      <c r="K33" s="9">
        <f t="shared" si="2"/>
      </c>
      <c r="L33" s="8">
        <f t="shared" si="3"/>
      </c>
      <c r="M33" s="9">
        <f t="shared" si="4"/>
      </c>
      <c r="N33" s="21">
        <f t="shared" si="5"/>
      </c>
      <c r="O33" s="109"/>
      <c r="P33" s="109"/>
      <c r="Q33" s="47"/>
      <c r="R33" s="58"/>
      <c r="S33" s="49"/>
    </row>
    <row r="34" ht="13.5" thickBot="1"/>
    <row r="35" spans="2:19" ht="13.5" thickBot="1">
      <c r="B35" s="41" t="s">
        <v>24</v>
      </c>
      <c r="C35" s="16">
        <f>HOUR(F35)</f>
        <v>12</v>
      </c>
      <c r="D35" s="16">
        <f>MINUTE(F35)</f>
        <v>37</v>
      </c>
      <c r="E35" s="17">
        <f>SECOND(F35)</f>
        <v>1</v>
      </c>
      <c r="F35" s="2">
        <f>SUMIF($G$3:$G$33,"x",F3:F33)</f>
        <v>0.5257060185185185</v>
      </c>
      <c r="G35" s="29">
        <f>COUNTIF(G3:G33,"x")</f>
        <v>12</v>
      </c>
      <c r="H35" s="2">
        <f>SUMIF($G$3:$G$33,"x",H3:H33)</f>
        <v>132300</v>
      </c>
      <c r="I35" s="2">
        <f>AVERAGE(I3:I34)</f>
        <v>0.004018789387439569</v>
      </c>
      <c r="K35" s="13">
        <f>IF(G35=0,"",HOUR(I35))</f>
        <v>0</v>
      </c>
      <c r="L35" s="14">
        <f>IF(G35=0,"",MINUTE(I35))</f>
        <v>5</v>
      </c>
      <c r="M35" s="14">
        <f>IF(G35=0,"",SECOND(I35))</f>
        <v>47</v>
      </c>
      <c r="N35" s="23">
        <f>IF(G35=0,"",($T$2*H35/F35)/1000)</f>
        <v>10.485898593161753</v>
      </c>
      <c r="O35" s="115"/>
      <c r="P35" s="115"/>
      <c r="Q35" s="23"/>
      <c r="R35" s="60">
        <f>SUM(R3:R33)</f>
        <v>90</v>
      </c>
      <c r="S35" s="15" t="s">
        <v>11</v>
      </c>
    </row>
  </sheetData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pane xSplit="2" ySplit="2" topLeftCell="C3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H17" sqref="H17"/>
    </sheetView>
  </sheetViews>
  <sheetFormatPr defaultColWidth="11.421875" defaultRowHeight="12.75"/>
  <cols>
    <col min="1" max="1" width="0" style="0" hidden="1" customWidth="1"/>
    <col min="2" max="2" width="5.00390625" style="40" bestFit="1" customWidth="1"/>
    <col min="3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3" width="7.00390625" style="0" bestFit="1" customWidth="1"/>
    <col min="14" max="14" width="7.00390625" style="22" bestFit="1" customWidth="1"/>
    <col min="15" max="16" width="5.57421875" style="1" bestFit="1" customWidth="1"/>
    <col min="17" max="17" width="5.57421875" style="1" customWidth="1"/>
    <col min="18" max="18" width="5.7109375" style="59" customWidth="1"/>
    <col min="19" max="19" width="17.140625" style="0" bestFit="1" customWidth="1"/>
    <col min="20" max="20" width="12.00390625" style="1" hidden="1" customWidth="1"/>
    <col min="21" max="16384" width="2.8515625" style="0" customWidth="1"/>
  </cols>
  <sheetData>
    <row r="1" spans="2:20" ht="13.5" thickBot="1">
      <c r="B1" s="39"/>
      <c r="C1" s="117" t="s">
        <v>0</v>
      </c>
      <c r="D1" s="118"/>
      <c r="E1" s="119"/>
      <c r="F1" s="3"/>
      <c r="G1" s="3"/>
      <c r="H1" s="18"/>
      <c r="I1" s="4"/>
      <c r="J1" s="45"/>
      <c r="K1" s="120" t="s">
        <v>9</v>
      </c>
      <c r="L1" s="121"/>
      <c r="M1" s="122"/>
      <c r="N1" s="19" t="s">
        <v>14</v>
      </c>
      <c r="O1" s="113"/>
      <c r="P1" s="113"/>
      <c r="Q1" s="113"/>
      <c r="R1" s="56"/>
      <c r="S1" s="6"/>
      <c r="T1" s="1" t="s">
        <v>13</v>
      </c>
    </row>
    <row r="2" spans="2:20" ht="26.25" thickBot="1">
      <c r="B2" s="24" t="s">
        <v>58</v>
      </c>
      <c r="C2" s="10" t="s">
        <v>7</v>
      </c>
      <c r="D2" s="10" t="s">
        <v>8</v>
      </c>
      <c r="E2" s="10" t="s">
        <v>6</v>
      </c>
      <c r="F2" s="5" t="s">
        <v>4</v>
      </c>
      <c r="G2" s="43" t="s">
        <v>59</v>
      </c>
      <c r="H2" s="44" t="s">
        <v>61</v>
      </c>
      <c r="I2" s="5" t="s">
        <v>5</v>
      </c>
      <c r="J2" s="46" t="s">
        <v>2</v>
      </c>
      <c r="K2" s="11" t="s">
        <v>7</v>
      </c>
      <c r="L2" s="12" t="s">
        <v>8</v>
      </c>
      <c r="M2" s="12" t="s">
        <v>6</v>
      </c>
      <c r="N2" s="20"/>
      <c r="O2" s="114" t="s">
        <v>62</v>
      </c>
      <c r="P2" s="114" t="s">
        <v>63</v>
      </c>
      <c r="Q2" s="114" t="s">
        <v>107</v>
      </c>
      <c r="R2" s="57" t="s">
        <v>74</v>
      </c>
      <c r="S2" s="7" t="s">
        <v>10</v>
      </c>
      <c r="T2" s="2">
        <f>TIME(1,0,0)</f>
        <v>0.041666666666666664</v>
      </c>
    </row>
    <row r="3" spans="1:19" ht="12.75">
      <c r="A3" t="s">
        <v>83</v>
      </c>
      <c r="B3" s="42" t="s">
        <v>27</v>
      </c>
      <c r="C3" s="50">
        <v>1</v>
      </c>
      <c r="D3" s="50">
        <v>36</v>
      </c>
      <c r="E3" s="50">
        <v>50</v>
      </c>
      <c r="F3" s="51">
        <f aca="true" t="shared" si="0" ref="F3:F32">IF(G3="x",TIME(C3,D3,E3),"")</f>
        <v>0.06724537037037037</v>
      </c>
      <c r="G3" s="52" t="s">
        <v>60</v>
      </c>
      <c r="H3" s="51">
        <v>17700</v>
      </c>
      <c r="I3" s="51">
        <f aca="true" t="shared" si="1" ref="I3:I32">IF(G3="x",F3*1000/H3,"")</f>
        <v>0.003799173467252563</v>
      </c>
      <c r="J3" s="53"/>
      <c r="K3" s="9">
        <f aca="true" t="shared" si="2" ref="K3:K32">IF(G3="x",HOUR(I3),"")</f>
        <v>0</v>
      </c>
      <c r="L3" s="8">
        <f aca="true" t="shared" si="3" ref="L3:L32">IF(G3="x",MINUTE(I3),"")</f>
        <v>5</v>
      </c>
      <c r="M3" s="9">
        <f aca="true" t="shared" si="4" ref="M3:M32">IF(G3="x",SECOND(I3),"")</f>
        <v>28</v>
      </c>
      <c r="N3" s="21">
        <f aca="true" t="shared" si="5" ref="N3:N32">IF(G3="x",($T$2*H3/F3)/1000,"")</f>
        <v>10.967297762478486</v>
      </c>
      <c r="O3" s="109">
        <v>126</v>
      </c>
      <c r="P3" s="109">
        <v>140</v>
      </c>
      <c r="Q3" s="109"/>
      <c r="R3" s="58"/>
      <c r="S3" s="48"/>
    </row>
    <row r="4" spans="1:19" ht="12.75">
      <c r="A4" t="s">
        <v>83</v>
      </c>
      <c r="B4" s="42" t="s">
        <v>28</v>
      </c>
      <c r="C4" s="54"/>
      <c r="D4" s="54">
        <v>52</v>
      </c>
      <c r="E4" s="54"/>
      <c r="F4" s="51">
        <f t="shared" si="0"/>
        <v>0.036111111111111115</v>
      </c>
      <c r="G4" s="52" t="s">
        <v>60</v>
      </c>
      <c r="H4" s="51">
        <v>9000</v>
      </c>
      <c r="I4" s="51">
        <f t="shared" si="1"/>
        <v>0.004012345679012346</v>
      </c>
      <c r="J4" s="53"/>
      <c r="K4" s="9">
        <f t="shared" si="2"/>
        <v>0</v>
      </c>
      <c r="L4" s="8">
        <f t="shared" si="3"/>
        <v>5</v>
      </c>
      <c r="M4" s="9">
        <f t="shared" si="4"/>
        <v>47</v>
      </c>
      <c r="N4" s="21">
        <f t="shared" si="5"/>
        <v>10.384615384615383</v>
      </c>
      <c r="O4" s="109">
        <v>126</v>
      </c>
      <c r="P4" s="109">
        <v>146</v>
      </c>
      <c r="Q4" s="109"/>
      <c r="R4" s="58"/>
      <c r="S4" s="49"/>
    </row>
    <row r="5" spans="1:19" ht="12.75">
      <c r="A5" t="s">
        <v>83</v>
      </c>
      <c r="B5" s="42" t="s">
        <v>29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109"/>
      <c r="P5" s="109"/>
      <c r="Q5" s="109"/>
      <c r="R5" s="58"/>
      <c r="S5" s="49"/>
    </row>
    <row r="6" spans="1:19" ht="12.75">
      <c r="A6" t="s">
        <v>83</v>
      </c>
      <c r="B6" s="42" t="s">
        <v>30</v>
      </c>
      <c r="C6" s="54">
        <v>1</v>
      </c>
      <c r="D6" s="54">
        <v>9</v>
      </c>
      <c r="E6" s="54">
        <v>52</v>
      </c>
      <c r="F6" s="51">
        <f t="shared" si="0"/>
        <v>0.048518518518518516</v>
      </c>
      <c r="G6" s="52" t="s">
        <v>60</v>
      </c>
      <c r="H6" s="51">
        <v>15000</v>
      </c>
      <c r="I6" s="51">
        <f t="shared" si="1"/>
        <v>0.003234567901234568</v>
      </c>
      <c r="J6" s="53"/>
      <c r="K6" s="9">
        <f t="shared" si="2"/>
        <v>0</v>
      </c>
      <c r="L6" s="8">
        <f t="shared" si="3"/>
        <v>4</v>
      </c>
      <c r="M6" s="9">
        <f t="shared" si="4"/>
        <v>39</v>
      </c>
      <c r="N6" s="21">
        <f t="shared" si="5"/>
        <v>12.881679389312978</v>
      </c>
      <c r="O6" s="109">
        <v>126</v>
      </c>
      <c r="P6" s="109">
        <v>170</v>
      </c>
      <c r="Q6" s="109" t="s">
        <v>135</v>
      </c>
      <c r="R6" s="58">
        <v>50</v>
      </c>
      <c r="S6" s="49" t="s">
        <v>136</v>
      </c>
    </row>
    <row r="7" spans="1:19" ht="12.75">
      <c r="A7" t="s">
        <v>83</v>
      </c>
      <c r="B7" s="42" t="s">
        <v>31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 t="shared" si="5"/>
      </c>
      <c r="O7" s="109"/>
      <c r="P7" s="109"/>
      <c r="Q7" s="109"/>
      <c r="R7" s="58"/>
      <c r="S7" s="49"/>
    </row>
    <row r="8" spans="1:19" ht="12.75">
      <c r="A8" t="s">
        <v>83</v>
      </c>
      <c r="B8" s="42" t="s">
        <v>32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109"/>
      <c r="P8" s="109"/>
      <c r="Q8" s="109"/>
      <c r="R8" s="58"/>
      <c r="S8" s="49"/>
    </row>
    <row r="9" spans="1:19" ht="12.75">
      <c r="A9" t="s">
        <v>83</v>
      </c>
      <c r="B9" s="42" t="s">
        <v>33</v>
      </c>
      <c r="C9" s="54">
        <v>1</v>
      </c>
      <c r="D9" s="54">
        <v>10</v>
      </c>
      <c r="E9" s="54"/>
      <c r="F9" s="51">
        <f t="shared" si="0"/>
        <v>0.04861111111111111</v>
      </c>
      <c r="G9" s="52" t="s">
        <v>60</v>
      </c>
      <c r="H9" s="51">
        <v>14500</v>
      </c>
      <c r="I9" s="51">
        <f t="shared" si="1"/>
        <v>0.003352490421455939</v>
      </c>
      <c r="J9" s="53"/>
      <c r="K9" s="9">
        <f t="shared" si="2"/>
        <v>0</v>
      </c>
      <c r="L9" s="8">
        <f t="shared" si="3"/>
        <v>4</v>
      </c>
      <c r="M9" s="9">
        <f t="shared" si="4"/>
        <v>50</v>
      </c>
      <c r="N9" s="21">
        <f t="shared" si="5"/>
        <v>12.428571428571427</v>
      </c>
      <c r="O9" s="109">
        <v>127</v>
      </c>
      <c r="P9" s="109">
        <v>173</v>
      </c>
      <c r="Q9" s="109" t="s">
        <v>138</v>
      </c>
      <c r="R9" s="58"/>
      <c r="S9" s="49"/>
    </row>
    <row r="10" spans="1:19" ht="12.75">
      <c r="A10" t="s">
        <v>83</v>
      </c>
      <c r="B10" s="42" t="s">
        <v>34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109"/>
      <c r="P10" s="109"/>
      <c r="Q10" s="109"/>
      <c r="R10" s="58"/>
      <c r="S10" s="49"/>
    </row>
    <row r="11" spans="1:19" ht="12.75">
      <c r="A11" t="s">
        <v>83</v>
      </c>
      <c r="B11" s="42" t="s">
        <v>35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109"/>
      <c r="P11" s="109"/>
      <c r="Q11" s="109"/>
      <c r="R11" s="58"/>
      <c r="S11" s="49"/>
    </row>
    <row r="12" spans="1:19" ht="12.75">
      <c r="A12" t="s">
        <v>83</v>
      </c>
      <c r="B12" s="42" t="s">
        <v>36</v>
      </c>
      <c r="C12" s="54"/>
      <c r="D12" s="54">
        <v>52</v>
      </c>
      <c r="E12" s="54">
        <v>59</v>
      </c>
      <c r="F12" s="51">
        <f t="shared" si="0"/>
        <v>0.03679398148148148</v>
      </c>
      <c r="G12" s="52" t="s">
        <v>60</v>
      </c>
      <c r="H12" s="51">
        <v>9000</v>
      </c>
      <c r="I12" s="51">
        <f t="shared" si="1"/>
        <v>0.004088220164609054</v>
      </c>
      <c r="J12" s="53"/>
      <c r="K12" s="9">
        <f t="shared" si="2"/>
        <v>0</v>
      </c>
      <c r="L12" s="8">
        <f t="shared" si="3"/>
        <v>5</v>
      </c>
      <c r="M12" s="9">
        <f t="shared" si="4"/>
        <v>53</v>
      </c>
      <c r="N12" s="21">
        <f t="shared" si="5"/>
        <v>10.191884240327147</v>
      </c>
      <c r="O12" s="109">
        <v>127</v>
      </c>
      <c r="P12" s="109">
        <v>137</v>
      </c>
      <c r="Q12" s="109" t="s">
        <v>139</v>
      </c>
      <c r="R12" s="58"/>
      <c r="S12" s="49"/>
    </row>
    <row r="13" spans="1:19" ht="12.75">
      <c r="A13" t="s">
        <v>83</v>
      </c>
      <c r="B13" s="42" t="s">
        <v>37</v>
      </c>
      <c r="C13" s="54">
        <v>1</v>
      </c>
      <c r="D13" s="54">
        <v>22</v>
      </c>
      <c r="E13" s="54">
        <v>0</v>
      </c>
      <c r="F13" s="51">
        <f t="shared" si="0"/>
        <v>0.05694444444444444</v>
      </c>
      <c r="G13" s="52" t="s">
        <v>60</v>
      </c>
      <c r="H13" s="51">
        <v>14000</v>
      </c>
      <c r="I13" s="51">
        <f t="shared" si="1"/>
        <v>0.004067460317460318</v>
      </c>
      <c r="J13" s="53"/>
      <c r="K13" s="9">
        <f t="shared" si="2"/>
        <v>0</v>
      </c>
      <c r="L13" s="8">
        <f t="shared" si="3"/>
        <v>5</v>
      </c>
      <c r="M13" s="9">
        <f t="shared" si="4"/>
        <v>51</v>
      </c>
      <c r="N13" s="21">
        <f t="shared" si="5"/>
        <v>10.243902439024389</v>
      </c>
      <c r="O13" s="109">
        <v>127</v>
      </c>
      <c r="P13" s="109">
        <v>137</v>
      </c>
      <c r="Q13" s="109" t="s">
        <v>139</v>
      </c>
      <c r="R13" s="58"/>
      <c r="S13" s="49"/>
    </row>
    <row r="14" spans="1:19" ht="12.75">
      <c r="A14" t="s">
        <v>83</v>
      </c>
      <c r="B14" s="42" t="s">
        <v>38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109"/>
      <c r="P14" s="109"/>
      <c r="Q14" s="109"/>
      <c r="R14" s="58"/>
      <c r="S14" s="49"/>
    </row>
    <row r="15" spans="1:19" ht="12.75">
      <c r="A15" t="s">
        <v>83</v>
      </c>
      <c r="B15" s="42" t="s">
        <v>39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109"/>
      <c r="P15" s="109"/>
      <c r="Q15" s="109"/>
      <c r="R15" s="58"/>
      <c r="S15" s="49"/>
    </row>
    <row r="16" spans="1:19" ht="12.75">
      <c r="A16" t="s">
        <v>83</v>
      </c>
      <c r="B16" s="42" t="s">
        <v>40</v>
      </c>
      <c r="C16" s="54">
        <v>0</v>
      </c>
      <c r="D16" s="54">
        <v>52</v>
      </c>
      <c r="E16" s="54"/>
      <c r="F16" s="51">
        <f t="shared" si="0"/>
        <v>0.036111111111111115</v>
      </c>
      <c r="G16" s="52" t="s">
        <v>60</v>
      </c>
      <c r="H16" s="51">
        <v>9000</v>
      </c>
      <c r="I16" s="51">
        <f t="shared" si="1"/>
        <v>0.004012345679012346</v>
      </c>
      <c r="J16" s="53"/>
      <c r="K16" s="9">
        <f t="shared" si="2"/>
        <v>0</v>
      </c>
      <c r="L16" s="8">
        <f t="shared" si="3"/>
        <v>5</v>
      </c>
      <c r="M16" s="9">
        <f t="shared" si="4"/>
        <v>47</v>
      </c>
      <c r="N16" s="21">
        <f t="shared" si="5"/>
        <v>10.384615384615383</v>
      </c>
      <c r="O16" s="109">
        <v>127</v>
      </c>
      <c r="P16" s="109">
        <v>160</v>
      </c>
      <c r="Q16" s="109" t="s">
        <v>138</v>
      </c>
      <c r="R16" s="58"/>
      <c r="S16" s="49" t="s">
        <v>140</v>
      </c>
    </row>
    <row r="17" spans="1:19" ht="12.75">
      <c r="A17" t="s">
        <v>83</v>
      </c>
      <c r="B17" s="42" t="s">
        <v>41</v>
      </c>
      <c r="C17" s="54"/>
      <c r="D17" s="54"/>
      <c r="E17" s="54"/>
      <c r="F17" s="51">
        <f t="shared" si="0"/>
      </c>
      <c r="G17" s="52"/>
      <c r="H17" s="51"/>
      <c r="I17" s="51">
        <f t="shared" si="1"/>
      </c>
      <c r="J17" s="53"/>
      <c r="K17" s="9">
        <f t="shared" si="2"/>
      </c>
      <c r="L17" s="8">
        <f t="shared" si="3"/>
      </c>
      <c r="M17" s="9">
        <f t="shared" si="4"/>
      </c>
      <c r="N17" s="21">
        <f t="shared" si="5"/>
      </c>
      <c r="O17" s="109"/>
      <c r="P17" s="109"/>
      <c r="Q17" s="109"/>
      <c r="R17" s="58"/>
      <c r="S17" s="49"/>
    </row>
    <row r="18" spans="1:19" ht="12.75">
      <c r="A18" t="s">
        <v>83</v>
      </c>
      <c r="B18" s="42" t="s">
        <v>42</v>
      </c>
      <c r="C18" s="54"/>
      <c r="D18" s="54">
        <v>45</v>
      </c>
      <c r="E18" s="54"/>
      <c r="F18" s="51">
        <f t="shared" si="0"/>
        <v>0.03125</v>
      </c>
      <c r="G18" s="52" t="s">
        <v>60</v>
      </c>
      <c r="H18" s="51">
        <v>7500</v>
      </c>
      <c r="I18" s="51">
        <f t="shared" si="1"/>
        <v>0.004166666666666667</v>
      </c>
      <c r="J18" s="53"/>
      <c r="K18" s="9">
        <f t="shared" si="2"/>
        <v>0</v>
      </c>
      <c r="L18" s="8">
        <f t="shared" si="3"/>
        <v>6</v>
      </c>
      <c r="M18" s="9">
        <f t="shared" si="4"/>
        <v>0</v>
      </c>
      <c r="N18" s="21">
        <f t="shared" si="5"/>
        <v>10</v>
      </c>
      <c r="O18" s="109">
        <v>127</v>
      </c>
      <c r="P18" s="109">
        <v>147</v>
      </c>
      <c r="Q18" s="109"/>
      <c r="R18" s="58"/>
      <c r="S18" s="49"/>
    </row>
    <row r="19" spans="1:19" ht="12.75">
      <c r="A19" t="s">
        <v>83</v>
      </c>
      <c r="B19" s="42" t="s">
        <v>43</v>
      </c>
      <c r="C19" s="54"/>
      <c r="D19" s="54"/>
      <c r="E19" s="54"/>
      <c r="F19" s="51">
        <f t="shared" si="0"/>
      </c>
      <c r="G19" s="52"/>
      <c r="H19" s="51"/>
      <c r="I19" s="51">
        <f t="shared" si="1"/>
      </c>
      <c r="J19" s="53"/>
      <c r="K19" s="9">
        <f t="shared" si="2"/>
      </c>
      <c r="L19" s="8">
        <f t="shared" si="3"/>
      </c>
      <c r="M19" s="9">
        <f t="shared" si="4"/>
      </c>
      <c r="N19" s="21">
        <f t="shared" si="5"/>
      </c>
      <c r="O19" s="109"/>
      <c r="P19" s="109"/>
      <c r="Q19" s="109"/>
      <c r="R19" s="58"/>
      <c r="S19" s="49"/>
    </row>
    <row r="20" spans="1:19" ht="12.75">
      <c r="A20" t="s">
        <v>83</v>
      </c>
      <c r="B20" s="42" t="s">
        <v>44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109"/>
      <c r="P20" s="109"/>
      <c r="Q20" s="109"/>
      <c r="R20" s="58"/>
      <c r="S20" s="49"/>
    </row>
    <row r="21" spans="1:19" ht="12.75">
      <c r="A21" t="s">
        <v>83</v>
      </c>
      <c r="B21" s="42" t="s">
        <v>45</v>
      </c>
      <c r="C21" s="54"/>
      <c r="D21" s="54">
        <v>30</v>
      </c>
      <c r="E21" s="54"/>
      <c r="F21" s="51">
        <f t="shared" si="0"/>
        <v>0.020833333333333332</v>
      </c>
      <c r="G21" s="52" t="s">
        <v>60</v>
      </c>
      <c r="H21" s="51">
        <v>5000</v>
      </c>
      <c r="I21" s="51">
        <f t="shared" si="1"/>
        <v>0.004166666666666667</v>
      </c>
      <c r="J21" s="53"/>
      <c r="K21" s="9">
        <f t="shared" si="2"/>
        <v>0</v>
      </c>
      <c r="L21" s="8">
        <f t="shared" si="3"/>
        <v>6</v>
      </c>
      <c r="M21" s="9">
        <f t="shared" si="4"/>
        <v>0</v>
      </c>
      <c r="N21" s="21">
        <f t="shared" si="5"/>
        <v>10</v>
      </c>
      <c r="O21" s="109">
        <v>127</v>
      </c>
      <c r="P21" s="109">
        <v>147</v>
      </c>
      <c r="Q21" s="109"/>
      <c r="R21" s="58"/>
      <c r="S21" s="49"/>
    </row>
    <row r="22" spans="1:19" ht="12.75">
      <c r="A22" t="s">
        <v>83</v>
      </c>
      <c r="B22" s="42" t="s">
        <v>46</v>
      </c>
      <c r="C22" s="54"/>
      <c r="D22" s="54">
        <v>52</v>
      </c>
      <c r="E22" s="54"/>
      <c r="F22" s="51">
        <f t="shared" si="0"/>
        <v>0.036111111111111115</v>
      </c>
      <c r="G22" s="52" t="s">
        <v>60</v>
      </c>
      <c r="H22" s="51">
        <v>9000</v>
      </c>
      <c r="I22" s="51">
        <f t="shared" si="1"/>
        <v>0.004012345679012346</v>
      </c>
      <c r="J22" s="53"/>
      <c r="K22" s="9">
        <f t="shared" si="2"/>
        <v>0</v>
      </c>
      <c r="L22" s="8">
        <f t="shared" si="3"/>
        <v>5</v>
      </c>
      <c r="M22" s="9">
        <f t="shared" si="4"/>
        <v>47</v>
      </c>
      <c r="N22" s="21">
        <f t="shared" si="5"/>
        <v>10.384615384615383</v>
      </c>
      <c r="O22" s="109">
        <v>127</v>
      </c>
      <c r="P22" s="109">
        <v>147</v>
      </c>
      <c r="Q22" s="109"/>
      <c r="R22" s="58"/>
      <c r="S22" s="49"/>
    </row>
    <row r="23" spans="1:19" ht="12.75">
      <c r="A23" t="s">
        <v>83</v>
      </c>
      <c r="B23" s="42" t="s">
        <v>47</v>
      </c>
      <c r="C23" s="54"/>
      <c r="D23" s="54"/>
      <c r="E23" s="54"/>
      <c r="F23" s="51">
        <f t="shared" si="0"/>
      </c>
      <c r="G23" s="52"/>
      <c r="H23" s="51"/>
      <c r="I23" s="51">
        <f t="shared" si="1"/>
      </c>
      <c r="J23" s="53"/>
      <c r="K23" s="9">
        <f t="shared" si="2"/>
      </c>
      <c r="L23" s="8">
        <f t="shared" si="3"/>
      </c>
      <c r="M23" s="9">
        <f t="shared" si="4"/>
      </c>
      <c r="N23" s="21">
        <f t="shared" si="5"/>
      </c>
      <c r="O23" s="109"/>
      <c r="P23" s="109"/>
      <c r="Q23" s="109"/>
      <c r="R23" s="58"/>
      <c r="S23" s="49"/>
    </row>
    <row r="24" spans="1:19" ht="12.75">
      <c r="A24" t="s">
        <v>83</v>
      </c>
      <c r="B24" s="42" t="s">
        <v>48</v>
      </c>
      <c r="C24" s="54"/>
      <c r="D24" s="54">
        <v>26</v>
      </c>
      <c r="E24" s="54"/>
      <c r="F24" s="51">
        <f t="shared" si="0"/>
        <v>0.018055555555555557</v>
      </c>
      <c r="G24" s="52" t="s">
        <v>60</v>
      </c>
      <c r="H24" s="51">
        <v>5000</v>
      </c>
      <c r="I24" s="51">
        <f t="shared" si="1"/>
        <v>0.0036111111111111114</v>
      </c>
      <c r="J24" s="53"/>
      <c r="K24" s="9">
        <f t="shared" si="2"/>
        <v>0</v>
      </c>
      <c r="L24" s="8">
        <f t="shared" si="3"/>
        <v>5</v>
      </c>
      <c r="M24" s="9">
        <f t="shared" si="4"/>
        <v>12</v>
      </c>
      <c r="N24" s="21">
        <f t="shared" si="5"/>
        <v>11.538461538461535</v>
      </c>
      <c r="O24" s="109">
        <v>127</v>
      </c>
      <c r="P24" s="109">
        <v>156</v>
      </c>
      <c r="Q24" s="109"/>
      <c r="R24" s="58"/>
      <c r="S24" s="49"/>
    </row>
    <row r="25" spans="1:19" ht="12.75">
      <c r="A25" t="s">
        <v>83</v>
      </c>
      <c r="B25" s="42" t="s">
        <v>49</v>
      </c>
      <c r="C25" s="54"/>
      <c r="D25" s="54">
        <v>50</v>
      </c>
      <c r="E25" s="54"/>
      <c r="F25" s="51">
        <f t="shared" si="0"/>
        <v>0.034722222222222224</v>
      </c>
      <c r="G25" s="52" t="s">
        <v>60</v>
      </c>
      <c r="H25" s="51">
        <v>9000</v>
      </c>
      <c r="I25" s="51">
        <f t="shared" si="1"/>
        <v>0.0038580246913580245</v>
      </c>
      <c r="J25" s="53"/>
      <c r="K25" s="9">
        <f t="shared" si="2"/>
        <v>0</v>
      </c>
      <c r="L25" s="8">
        <f t="shared" si="3"/>
        <v>5</v>
      </c>
      <c r="M25" s="9">
        <f t="shared" si="4"/>
        <v>33</v>
      </c>
      <c r="N25" s="21">
        <f t="shared" si="5"/>
        <v>10.8</v>
      </c>
      <c r="O25" s="109">
        <v>127</v>
      </c>
      <c r="P25" s="109">
        <v>160</v>
      </c>
      <c r="Q25" s="109"/>
      <c r="R25" s="58"/>
      <c r="S25" s="49" t="s">
        <v>140</v>
      </c>
    </row>
    <row r="26" spans="1:19" ht="12.75">
      <c r="A26" t="s">
        <v>83</v>
      </c>
      <c r="B26" s="42" t="s">
        <v>50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109"/>
      <c r="P26" s="109"/>
      <c r="Q26" s="109"/>
      <c r="R26" s="58"/>
      <c r="S26" s="49"/>
    </row>
    <row r="27" spans="1:19" ht="12.75">
      <c r="A27" t="s">
        <v>83</v>
      </c>
      <c r="B27" s="42" t="s">
        <v>51</v>
      </c>
      <c r="C27" s="54">
        <v>1</v>
      </c>
      <c r="D27" s="54">
        <v>51</v>
      </c>
      <c r="E27" s="54">
        <v>25</v>
      </c>
      <c r="F27" s="51">
        <f t="shared" si="0"/>
        <v>0.07737268518518518</v>
      </c>
      <c r="G27" s="52" t="s">
        <v>60</v>
      </c>
      <c r="H27" s="51">
        <v>21500</v>
      </c>
      <c r="I27" s="51">
        <f t="shared" si="1"/>
        <v>0.003598729543496985</v>
      </c>
      <c r="J27" s="53"/>
      <c r="K27" s="9">
        <f t="shared" si="2"/>
        <v>0</v>
      </c>
      <c r="L27" s="8">
        <f t="shared" si="3"/>
        <v>5</v>
      </c>
      <c r="M27" s="9">
        <f t="shared" si="4"/>
        <v>11</v>
      </c>
      <c r="N27" s="21">
        <f t="shared" si="5"/>
        <v>11.578160059835453</v>
      </c>
      <c r="O27" s="109"/>
      <c r="P27" s="109"/>
      <c r="Q27" s="109" t="s">
        <v>135</v>
      </c>
      <c r="R27" s="58">
        <v>50</v>
      </c>
      <c r="S27" s="49" t="s">
        <v>141</v>
      </c>
    </row>
    <row r="28" spans="1:19" ht="12.75">
      <c r="A28" t="s">
        <v>83</v>
      </c>
      <c r="B28" s="42" t="s">
        <v>52</v>
      </c>
      <c r="C28" s="54"/>
      <c r="D28" s="54">
        <v>43</v>
      </c>
      <c r="E28" s="54"/>
      <c r="F28" s="51">
        <f t="shared" si="0"/>
        <v>0.029861111111111113</v>
      </c>
      <c r="G28" s="52" t="s">
        <v>60</v>
      </c>
      <c r="H28" s="51">
        <v>7000</v>
      </c>
      <c r="I28" s="51">
        <f t="shared" si="1"/>
        <v>0.004265873015873016</v>
      </c>
      <c r="J28" s="53"/>
      <c r="K28" s="9">
        <f t="shared" si="2"/>
        <v>0</v>
      </c>
      <c r="L28" s="8">
        <f t="shared" si="3"/>
        <v>6</v>
      </c>
      <c r="M28" s="9">
        <f t="shared" si="4"/>
        <v>9</v>
      </c>
      <c r="N28" s="21">
        <f t="shared" si="5"/>
        <v>9.767441860465114</v>
      </c>
      <c r="O28" s="109">
        <v>127</v>
      </c>
      <c r="P28" s="109">
        <v>136</v>
      </c>
      <c r="Q28" s="109"/>
      <c r="R28" s="58"/>
      <c r="S28" s="49"/>
    </row>
    <row r="29" spans="1:19" ht="12.75">
      <c r="A29" t="s">
        <v>83</v>
      </c>
      <c r="B29" s="42" t="s">
        <v>53</v>
      </c>
      <c r="C29" s="54"/>
      <c r="D29" s="54"/>
      <c r="E29" s="54"/>
      <c r="F29" s="51">
        <f t="shared" si="0"/>
      </c>
      <c r="G29" s="52"/>
      <c r="H29" s="51"/>
      <c r="I29" s="51">
        <f t="shared" si="1"/>
      </c>
      <c r="J29" s="53"/>
      <c r="K29" s="9">
        <f t="shared" si="2"/>
      </c>
      <c r="L29" s="8">
        <f t="shared" si="3"/>
      </c>
      <c r="M29" s="9">
        <f t="shared" si="4"/>
      </c>
      <c r="N29" s="21">
        <f t="shared" si="5"/>
      </c>
      <c r="O29" s="109"/>
      <c r="P29" s="109"/>
      <c r="Q29" s="109"/>
      <c r="R29" s="58"/>
      <c r="S29" s="49"/>
    </row>
    <row r="30" spans="1:19" ht="12.75">
      <c r="A30" t="s">
        <v>83</v>
      </c>
      <c r="B30" s="42" t="s">
        <v>54</v>
      </c>
      <c r="C30" s="54"/>
      <c r="D30" s="54">
        <v>48</v>
      </c>
      <c r="E30" s="54">
        <v>20</v>
      </c>
      <c r="F30" s="51">
        <f t="shared" si="0"/>
        <v>0.03356481481481482</v>
      </c>
      <c r="G30" s="52" t="s">
        <v>60</v>
      </c>
      <c r="H30" s="51">
        <v>9000</v>
      </c>
      <c r="I30" s="51">
        <f t="shared" si="1"/>
        <v>0.0037294238683127576</v>
      </c>
      <c r="J30" s="53"/>
      <c r="K30" s="9">
        <f t="shared" si="2"/>
        <v>0</v>
      </c>
      <c r="L30" s="8">
        <f t="shared" si="3"/>
        <v>5</v>
      </c>
      <c r="M30" s="9">
        <f t="shared" si="4"/>
        <v>22</v>
      </c>
      <c r="N30" s="21">
        <f t="shared" si="5"/>
        <v>11.172413793103447</v>
      </c>
      <c r="O30" s="109">
        <v>146</v>
      </c>
      <c r="P30" s="109">
        <v>160</v>
      </c>
      <c r="Q30" s="109"/>
      <c r="R30" s="58"/>
      <c r="S30" s="49"/>
    </row>
    <row r="31" spans="1:19" ht="12.75">
      <c r="A31" t="s">
        <v>83</v>
      </c>
      <c r="B31" s="42" t="s">
        <v>55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109"/>
      <c r="P31" s="109"/>
      <c r="Q31" s="109"/>
      <c r="R31" s="58"/>
      <c r="S31" s="49"/>
    </row>
    <row r="32" spans="1:19" ht="12.75">
      <c r="A32" t="s">
        <v>83</v>
      </c>
      <c r="B32" s="42" t="s">
        <v>56</v>
      </c>
      <c r="C32" s="54"/>
      <c r="D32" s="54">
        <v>50</v>
      </c>
      <c r="E32" s="54"/>
      <c r="F32" s="51">
        <f t="shared" si="0"/>
        <v>0.034722222222222224</v>
      </c>
      <c r="G32" s="52" t="s">
        <v>60</v>
      </c>
      <c r="H32" s="51">
        <v>9000</v>
      </c>
      <c r="I32" s="51">
        <f t="shared" si="1"/>
        <v>0.0038580246913580245</v>
      </c>
      <c r="J32" s="53"/>
      <c r="K32" s="9">
        <f t="shared" si="2"/>
        <v>0</v>
      </c>
      <c r="L32" s="8">
        <f t="shared" si="3"/>
        <v>5</v>
      </c>
      <c r="M32" s="9">
        <f t="shared" si="4"/>
        <v>33</v>
      </c>
      <c r="N32" s="21">
        <f t="shared" si="5"/>
        <v>10.8</v>
      </c>
      <c r="O32" s="109">
        <v>146</v>
      </c>
      <c r="P32" s="109">
        <v>160</v>
      </c>
      <c r="Q32" s="109" t="s">
        <v>138</v>
      </c>
      <c r="R32" s="58"/>
      <c r="S32" s="49" t="s">
        <v>142</v>
      </c>
    </row>
    <row r="34" ht="13.5" thickBot="1"/>
    <row r="35" spans="2:19" ht="13.5" thickBot="1">
      <c r="B35" s="41" t="s">
        <v>24</v>
      </c>
      <c r="C35" s="16">
        <f>HOUR(F35)</f>
        <v>15</v>
      </c>
      <c r="D35" s="16">
        <f>MINUTE(F35)</f>
        <v>31</v>
      </c>
      <c r="E35" s="17">
        <f>SECOND(F35)</f>
        <v>26</v>
      </c>
      <c r="F35" s="2">
        <f>SUMIF($G$3:$G$32,"x",F3:F32)</f>
        <v>0.6468287037037036</v>
      </c>
      <c r="G35" s="29">
        <f>COUNTIF(G3:G32,"x")</f>
        <v>16</v>
      </c>
      <c r="H35" s="2">
        <f>SUMIF($G$3:$G$32,"x",H3:H32)</f>
        <v>170200</v>
      </c>
      <c r="I35" s="2">
        <f>AVERAGE(I3:I33)</f>
        <v>0.0038645918477432963</v>
      </c>
      <c r="K35" s="13">
        <f>IF(G35=0,"",HOUR(I35))</f>
        <v>0</v>
      </c>
      <c r="L35" s="14">
        <f>IF(G35=0,"",MINUTE(I35))</f>
        <v>5</v>
      </c>
      <c r="M35" s="14">
        <f>IF(G35=0,"",SECOND(I35))</f>
        <v>34</v>
      </c>
      <c r="N35" s="23">
        <f>IF(G35=0,"",($T$2*H35/F35)/1000)</f>
        <v>10.963747629102102</v>
      </c>
      <c r="O35" s="115"/>
      <c r="P35" s="115"/>
      <c r="Q35" s="115"/>
      <c r="R35" s="60">
        <f>SUM(R3:R32)</f>
        <v>100</v>
      </c>
      <c r="S35" s="15" t="s">
        <v>11</v>
      </c>
    </row>
  </sheetData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17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R36" sqref="R36"/>
    </sheetView>
  </sheetViews>
  <sheetFormatPr defaultColWidth="11.421875" defaultRowHeight="12.75"/>
  <cols>
    <col min="1" max="1" width="0" style="0" hidden="1" customWidth="1"/>
    <col min="2" max="2" width="5.00390625" style="40" bestFit="1" customWidth="1"/>
    <col min="3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3" width="7.00390625" style="0" bestFit="1" customWidth="1"/>
    <col min="14" max="14" width="7.00390625" style="22" bestFit="1" customWidth="1"/>
    <col min="15" max="15" width="5.57421875" style="1" bestFit="1" customWidth="1"/>
    <col min="16" max="17" width="5.00390625" style="1" customWidth="1"/>
    <col min="18" max="18" width="5.7109375" style="59" customWidth="1"/>
    <col min="19" max="19" width="17.140625" style="0" bestFit="1" customWidth="1"/>
    <col min="20" max="20" width="12.00390625" style="1" hidden="1" customWidth="1"/>
    <col min="21" max="16384" width="2.8515625" style="0" customWidth="1"/>
  </cols>
  <sheetData>
    <row r="1" spans="2:20" ht="13.5" thickBot="1">
      <c r="B1" s="39"/>
      <c r="C1" s="117" t="s">
        <v>0</v>
      </c>
      <c r="D1" s="118"/>
      <c r="E1" s="119"/>
      <c r="F1" s="3"/>
      <c r="G1" s="3"/>
      <c r="H1" s="18"/>
      <c r="I1" s="4"/>
      <c r="J1" s="45"/>
      <c r="K1" s="120" t="s">
        <v>9</v>
      </c>
      <c r="L1" s="121"/>
      <c r="M1" s="122"/>
      <c r="N1" s="19" t="s">
        <v>14</v>
      </c>
      <c r="O1" s="113"/>
      <c r="P1" s="113"/>
      <c r="Q1" s="113"/>
      <c r="R1" s="56"/>
      <c r="S1" s="6"/>
      <c r="T1" s="1" t="s">
        <v>13</v>
      </c>
    </row>
    <row r="2" spans="2:20" ht="26.25" thickBot="1">
      <c r="B2" s="24" t="s">
        <v>58</v>
      </c>
      <c r="C2" s="10" t="s">
        <v>7</v>
      </c>
      <c r="D2" s="10" t="s">
        <v>8</v>
      </c>
      <c r="E2" s="10" t="s">
        <v>6</v>
      </c>
      <c r="F2" s="5" t="s">
        <v>4</v>
      </c>
      <c r="G2" s="43" t="s">
        <v>59</v>
      </c>
      <c r="H2" s="44" t="s">
        <v>61</v>
      </c>
      <c r="I2" s="5" t="s">
        <v>5</v>
      </c>
      <c r="J2" s="46" t="s">
        <v>2</v>
      </c>
      <c r="K2" s="11" t="s">
        <v>7</v>
      </c>
      <c r="L2" s="12" t="s">
        <v>8</v>
      </c>
      <c r="M2" s="12" t="s">
        <v>6</v>
      </c>
      <c r="N2" s="20"/>
      <c r="O2" s="114" t="s">
        <v>62</v>
      </c>
      <c r="P2" s="114" t="s">
        <v>63</v>
      </c>
      <c r="Q2" s="114"/>
      <c r="R2" s="57" t="s">
        <v>74</v>
      </c>
      <c r="S2" s="7" t="s">
        <v>10</v>
      </c>
      <c r="T2" s="2">
        <f>TIME(1,0,0)</f>
        <v>0.041666666666666664</v>
      </c>
    </row>
    <row r="3" spans="1:19" ht="12.75">
      <c r="A3" t="s">
        <v>84</v>
      </c>
      <c r="B3" s="42" t="s">
        <v>27</v>
      </c>
      <c r="C3" s="50"/>
      <c r="D3" s="50"/>
      <c r="E3" s="50"/>
      <c r="F3" s="51">
        <f aca="true" t="shared" si="0" ref="F3:F33">IF(G3="x",TIME(C3,D3,E3),"")</f>
      </c>
      <c r="G3" s="52"/>
      <c r="H3" s="51"/>
      <c r="I3" s="51">
        <f aca="true" t="shared" si="1" ref="I3:I33">IF(G3="x",F3*1000/H3,"")</f>
      </c>
      <c r="J3" s="53"/>
      <c r="K3" s="9">
        <f aca="true" t="shared" si="2" ref="K3:K33">IF(G3="x",HOUR(I3),"")</f>
      </c>
      <c r="L3" s="8">
        <f aca="true" t="shared" si="3" ref="L3:L33">IF(G3="x",MINUTE(I3),"")</f>
      </c>
      <c r="M3" s="9">
        <f aca="true" t="shared" si="4" ref="M3:M33">IF(G3="x",SECOND(I3),"")</f>
      </c>
      <c r="N3" s="21">
        <f aca="true" t="shared" si="5" ref="N3:N33">IF(G3="x",($T$2*H3/F3)/1000,"")</f>
      </c>
      <c r="O3" s="109"/>
      <c r="P3" s="109"/>
      <c r="Q3" s="109"/>
      <c r="R3" s="58"/>
      <c r="S3" s="48"/>
    </row>
    <row r="4" spans="1:19" ht="12.75">
      <c r="A4" t="s">
        <v>84</v>
      </c>
      <c r="B4" s="42" t="s">
        <v>28</v>
      </c>
      <c r="C4" s="54"/>
      <c r="D4" s="54"/>
      <c r="E4" s="54"/>
      <c r="F4" s="51">
        <f t="shared" si="0"/>
      </c>
      <c r="G4" s="52"/>
      <c r="H4" s="51"/>
      <c r="I4" s="51">
        <f t="shared" si="1"/>
      </c>
      <c r="J4" s="53"/>
      <c r="K4" s="9">
        <f t="shared" si="2"/>
      </c>
      <c r="L4" s="8">
        <f t="shared" si="3"/>
      </c>
      <c r="M4" s="9">
        <f t="shared" si="4"/>
      </c>
      <c r="N4" s="21">
        <f t="shared" si="5"/>
      </c>
      <c r="O4" s="109"/>
      <c r="P4" s="109"/>
      <c r="Q4" s="109"/>
      <c r="R4" s="58"/>
      <c r="S4" s="49"/>
    </row>
    <row r="5" spans="1:19" ht="12.75">
      <c r="A5" t="s">
        <v>84</v>
      </c>
      <c r="B5" s="42" t="s">
        <v>29</v>
      </c>
      <c r="C5" s="54"/>
      <c r="D5" s="54"/>
      <c r="E5" s="54"/>
      <c r="F5" s="51">
        <f t="shared" si="0"/>
      </c>
      <c r="G5" s="52"/>
      <c r="H5" s="51"/>
      <c r="I5" s="51">
        <f t="shared" si="1"/>
      </c>
      <c r="J5" s="53"/>
      <c r="K5" s="9">
        <f t="shared" si="2"/>
      </c>
      <c r="L5" s="8">
        <f t="shared" si="3"/>
      </c>
      <c r="M5" s="9">
        <f t="shared" si="4"/>
      </c>
      <c r="N5" s="21">
        <f t="shared" si="5"/>
      </c>
      <c r="O5" s="109"/>
      <c r="P5" s="109"/>
      <c r="Q5" s="109"/>
      <c r="R5" s="58"/>
      <c r="S5" s="49"/>
    </row>
    <row r="6" spans="1:19" ht="12.75">
      <c r="A6" t="s">
        <v>84</v>
      </c>
      <c r="B6" s="42" t="s">
        <v>30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109"/>
      <c r="P6" s="109"/>
      <c r="Q6" s="109"/>
      <c r="R6" s="58"/>
      <c r="S6" s="49"/>
    </row>
    <row r="7" spans="1:19" ht="12.75">
      <c r="A7" t="s">
        <v>84</v>
      </c>
      <c r="B7" s="42" t="s">
        <v>31</v>
      </c>
      <c r="C7" s="54"/>
      <c r="D7" s="54"/>
      <c r="E7" s="54"/>
      <c r="F7" s="51">
        <f t="shared" si="0"/>
      </c>
      <c r="G7" s="52"/>
      <c r="H7" s="51"/>
      <c r="I7" s="51">
        <f t="shared" si="1"/>
      </c>
      <c r="J7" s="53"/>
      <c r="K7" s="9">
        <f t="shared" si="2"/>
      </c>
      <c r="L7" s="8">
        <f t="shared" si="3"/>
      </c>
      <c r="M7" s="9">
        <f t="shared" si="4"/>
      </c>
      <c r="N7" s="21">
        <f t="shared" si="5"/>
      </c>
      <c r="O7" s="109"/>
      <c r="P7" s="109"/>
      <c r="Q7" s="109"/>
      <c r="R7" s="58"/>
      <c r="S7" s="49"/>
    </row>
    <row r="8" spans="1:19" ht="12.75">
      <c r="A8" t="s">
        <v>84</v>
      </c>
      <c r="B8" s="42" t="s">
        <v>32</v>
      </c>
      <c r="C8" s="54"/>
      <c r="D8" s="54">
        <v>55</v>
      </c>
      <c r="E8" s="54"/>
      <c r="F8" s="51">
        <f t="shared" si="0"/>
        <v>0.03819444444444444</v>
      </c>
      <c r="G8" s="52" t="s">
        <v>60</v>
      </c>
      <c r="H8" s="51">
        <v>9500</v>
      </c>
      <c r="I8" s="51">
        <f t="shared" si="1"/>
        <v>0.00402046783625731</v>
      </c>
      <c r="J8" s="53"/>
      <c r="K8" s="9">
        <f t="shared" si="2"/>
        <v>0</v>
      </c>
      <c r="L8" s="8">
        <f t="shared" si="3"/>
        <v>5</v>
      </c>
      <c r="M8" s="9">
        <f t="shared" si="4"/>
        <v>47</v>
      </c>
      <c r="N8" s="21">
        <f t="shared" si="5"/>
        <v>10.363636363636363</v>
      </c>
      <c r="O8" s="109">
        <v>126</v>
      </c>
      <c r="P8" s="109">
        <v>136</v>
      </c>
      <c r="Q8" s="109"/>
      <c r="R8" s="58"/>
      <c r="S8" s="49"/>
    </row>
    <row r="9" spans="1:19" ht="12.75">
      <c r="A9" t="s">
        <v>84</v>
      </c>
      <c r="B9" s="42" t="s">
        <v>33</v>
      </c>
      <c r="C9" s="54"/>
      <c r="D9" s="54"/>
      <c r="E9" s="54"/>
      <c r="F9" s="51">
        <f t="shared" si="0"/>
      </c>
      <c r="G9" s="52"/>
      <c r="H9" s="51"/>
      <c r="I9" s="51">
        <f t="shared" si="1"/>
      </c>
      <c r="J9" s="53"/>
      <c r="K9" s="9">
        <f t="shared" si="2"/>
      </c>
      <c r="L9" s="8">
        <f t="shared" si="3"/>
      </c>
      <c r="M9" s="9">
        <f t="shared" si="4"/>
      </c>
      <c r="N9" s="21">
        <f t="shared" si="5"/>
      </c>
      <c r="O9" s="109"/>
      <c r="P9" s="109"/>
      <c r="Q9" s="109"/>
      <c r="R9" s="58"/>
      <c r="S9" s="49"/>
    </row>
    <row r="10" spans="1:19" ht="12.75">
      <c r="A10" t="s">
        <v>84</v>
      </c>
      <c r="B10" s="42" t="s">
        <v>34</v>
      </c>
      <c r="C10" s="54"/>
      <c r="D10" s="54"/>
      <c r="E10" s="54"/>
      <c r="F10" s="51">
        <f t="shared" si="0"/>
      </c>
      <c r="G10" s="52"/>
      <c r="H10" s="51"/>
      <c r="I10" s="51">
        <f t="shared" si="1"/>
      </c>
      <c r="J10" s="53"/>
      <c r="K10" s="9">
        <f t="shared" si="2"/>
      </c>
      <c r="L10" s="8">
        <f t="shared" si="3"/>
      </c>
      <c r="M10" s="9">
        <f t="shared" si="4"/>
      </c>
      <c r="N10" s="21">
        <f t="shared" si="5"/>
      </c>
      <c r="O10" s="109"/>
      <c r="P10" s="109"/>
      <c r="Q10" s="109"/>
      <c r="R10" s="58"/>
      <c r="S10" s="49"/>
    </row>
    <row r="11" spans="1:19" ht="12.75">
      <c r="A11" t="s">
        <v>84</v>
      </c>
      <c r="B11" s="42" t="s">
        <v>35</v>
      </c>
      <c r="C11" s="54"/>
      <c r="D11" s="54"/>
      <c r="E11" s="54"/>
      <c r="F11" s="51">
        <f t="shared" si="0"/>
      </c>
      <c r="G11" s="52"/>
      <c r="H11" s="51"/>
      <c r="I11" s="51">
        <f t="shared" si="1"/>
      </c>
      <c r="J11" s="53"/>
      <c r="K11" s="9">
        <f t="shared" si="2"/>
      </c>
      <c r="L11" s="8">
        <f t="shared" si="3"/>
      </c>
      <c r="M11" s="9">
        <f t="shared" si="4"/>
      </c>
      <c r="N11" s="21">
        <f t="shared" si="5"/>
      </c>
      <c r="O11" s="109"/>
      <c r="P11" s="109"/>
      <c r="Q11" s="109"/>
      <c r="R11" s="58"/>
      <c r="S11" s="49"/>
    </row>
    <row r="12" spans="1:19" ht="12.75">
      <c r="A12" t="s">
        <v>84</v>
      </c>
      <c r="B12" s="42" t="s">
        <v>36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109"/>
      <c r="P12" s="109"/>
      <c r="Q12" s="109"/>
      <c r="R12" s="58"/>
      <c r="S12" s="49"/>
    </row>
    <row r="13" spans="1:19" ht="12.75">
      <c r="A13" t="s">
        <v>84</v>
      </c>
      <c r="B13" s="42" t="s">
        <v>37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109"/>
      <c r="P13" s="109"/>
      <c r="Q13" s="109"/>
      <c r="R13" s="58"/>
      <c r="S13" s="49"/>
    </row>
    <row r="14" spans="1:19" ht="12.75">
      <c r="A14" t="s">
        <v>84</v>
      </c>
      <c r="B14" s="42" t="s">
        <v>38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109"/>
      <c r="P14" s="109"/>
      <c r="Q14" s="109"/>
      <c r="R14" s="58"/>
      <c r="S14" s="49"/>
    </row>
    <row r="15" spans="1:19" ht="12.75">
      <c r="A15" t="s">
        <v>84</v>
      </c>
      <c r="B15" s="42" t="s">
        <v>39</v>
      </c>
      <c r="C15" s="54"/>
      <c r="D15" s="54">
        <v>56</v>
      </c>
      <c r="E15" s="54"/>
      <c r="F15" s="51">
        <f t="shared" si="0"/>
        <v>0.03888888888888889</v>
      </c>
      <c r="G15" s="52" t="s">
        <v>60</v>
      </c>
      <c r="H15" s="51">
        <v>10000</v>
      </c>
      <c r="I15" s="51">
        <f t="shared" si="1"/>
        <v>0.003888888888888889</v>
      </c>
      <c r="J15" s="53"/>
      <c r="K15" s="9">
        <f t="shared" si="2"/>
        <v>0</v>
      </c>
      <c r="L15" s="8">
        <f t="shared" si="3"/>
        <v>5</v>
      </c>
      <c r="M15" s="9">
        <f t="shared" si="4"/>
        <v>36</v>
      </c>
      <c r="N15" s="21">
        <f t="shared" si="5"/>
        <v>10.714285714285714</v>
      </c>
      <c r="O15" s="109">
        <v>126</v>
      </c>
      <c r="P15" s="109">
        <v>136</v>
      </c>
      <c r="Q15" s="109"/>
      <c r="R15" s="58"/>
      <c r="S15" s="49"/>
    </row>
    <row r="16" spans="1:19" ht="12.75">
      <c r="A16" t="s">
        <v>84</v>
      </c>
      <c r="B16" s="42" t="s">
        <v>40</v>
      </c>
      <c r="C16" s="54"/>
      <c r="D16" s="54"/>
      <c r="E16" s="54"/>
      <c r="F16" s="51">
        <f t="shared" si="0"/>
      </c>
      <c r="G16" s="52"/>
      <c r="H16" s="51"/>
      <c r="I16" s="51">
        <f t="shared" si="1"/>
      </c>
      <c r="J16" s="53"/>
      <c r="K16" s="9">
        <f t="shared" si="2"/>
      </c>
      <c r="L16" s="8">
        <f t="shared" si="3"/>
      </c>
      <c r="M16" s="9">
        <f t="shared" si="4"/>
      </c>
      <c r="N16" s="21">
        <f t="shared" si="5"/>
      </c>
      <c r="O16" s="109"/>
      <c r="P16" s="109"/>
      <c r="Q16" s="109"/>
      <c r="R16" s="58"/>
      <c r="S16" s="49"/>
    </row>
    <row r="17" spans="1:19" ht="12.75">
      <c r="A17" t="s">
        <v>84</v>
      </c>
      <c r="B17" s="42" t="s">
        <v>41</v>
      </c>
      <c r="C17" s="54"/>
      <c r="D17" s="54">
        <v>53</v>
      </c>
      <c r="E17" s="54"/>
      <c r="F17" s="51">
        <f t="shared" si="0"/>
        <v>0.03680555555555556</v>
      </c>
      <c r="G17" s="52" t="s">
        <v>60</v>
      </c>
      <c r="H17" s="51">
        <v>10000</v>
      </c>
      <c r="I17" s="51">
        <f t="shared" si="1"/>
        <v>0.003680555555555556</v>
      </c>
      <c r="J17" s="53"/>
      <c r="K17" s="9">
        <f t="shared" si="2"/>
        <v>0</v>
      </c>
      <c r="L17" s="8">
        <f t="shared" si="3"/>
        <v>5</v>
      </c>
      <c r="M17" s="9">
        <f t="shared" si="4"/>
        <v>18</v>
      </c>
      <c r="N17" s="21">
        <f t="shared" si="5"/>
        <v>11.320754716981131</v>
      </c>
      <c r="O17" s="109">
        <v>126</v>
      </c>
      <c r="P17" s="109">
        <v>156</v>
      </c>
      <c r="Q17" s="109"/>
      <c r="R17" s="58"/>
      <c r="S17" s="49"/>
    </row>
    <row r="18" spans="1:19" ht="12.75">
      <c r="A18" t="s">
        <v>84</v>
      </c>
      <c r="B18" s="42" t="s">
        <v>42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109"/>
      <c r="P18" s="109"/>
      <c r="Q18" s="109"/>
      <c r="R18" s="58"/>
      <c r="S18" s="49"/>
    </row>
    <row r="19" spans="1:19" ht="12.75">
      <c r="A19" t="s">
        <v>84</v>
      </c>
      <c r="B19" s="42" t="s">
        <v>43</v>
      </c>
      <c r="C19" s="54"/>
      <c r="D19" s="54">
        <v>50</v>
      </c>
      <c r="E19" s="54"/>
      <c r="F19" s="51">
        <f t="shared" si="0"/>
        <v>0.034722222222222224</v>
      </c>
      <c r="G19" s="52" t="s">
        <v>60</v>
      </c>
      <c r="H19" s="51">
        <v>9000</v>
      </c>
      <c r="I19" s="51">
        <f t="shared" si="1"/>
        <v>0.0038580246913580245</v>
      </c>
      <c r="J19" s="53"/>
      <c r="K19" s="9">
        <f t="shared" si="2"/>
        <v>0</v>
      </c>
      <c r="L19" s="8">
        <f t="shared" si="3"/>
        <v>5</v>
      </c>
      <c r="M19" s="9">
        <f t="shared" si="4"/>
        <v>33</v>
      </c>
      <c r="N19" s="21">
        <f t="shared" si="5"/>
        <v>10.8</v>
      </c>
      <c r="O19" s="109">
        <v>126</v>
      </c>
      <c r="P19" s="109">
        <v>146</v>
      </c>
      <c r="Q19" s="109"/>
      <c r="R19" s="58"/>
      <c r="S19" s="49"/>
    </row>
    <row r="20" spans="1:19" ht="12.75">
      <c r="A20" t="s">
        <v>84</v>
      </c>
      <c r="B20" s="42" t="s">
        <v>44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109"/>
      <c r="P20" s="109"/>
      <c r="Q20" s="109"/>
      <c r="R20" s="58"/>
      <c r="S20" s="49"/>
    </row>
    <row r="21" spans="1:19" ht="12.75">
      <c r="A21" t="s">
        <v>84</v>
      </c>
      <c r="B21" s="42" t="s">
        <v>45</v>
      </c>
      <c r="C21" s="54"/>
      <c r="D21" s="54">
        <v>46</v>
      </c>
      <c r="E21" s="54"/>
      <c r="F21" s="51">
        <f t="shared" si="0"/>
        <v>0.03194444444444445</v>
      </c>
      <c r="G21" s="52" t="s">
        <v>60</v>
      </c>
      <c r="H21" s="51">
        <v>8500</v>
      </c>
      <c r="I21" s="51">
        <f t="shared" si="1"/>
        <v>0.0037581699346405234</v>
      </c>
      <c r="J21" s="53"/>
      <c r="K21" s="9">
        <f t="shared" si="2"/>
        <v>0</v>
      </c>
      <c r="L21" s="8">
        <f t="shared" si="3"/>
        <v>5</v>
      </c>
      <c r="M21" s="9">
        <f t="shared" si="4"/>
        <v>25</v>
      </c>
      <c r="N21" s="21">
        <f t="shared" si="5"/>
        <v>11.086956521739129</v>
      </c>
      <c r="O21" s="109">
        <v>126</v>
      </c>
      <c r="P21" s="109">
        <v>156</v>
      </c>
      <c r="Q21" s="109"/>
      <c r="R21" s="58"/>
      <c r="S21" s="49"/>
    </row>
    <row r="22" spans="1:19" ht="12.75">
      <c r="A22" t="s">
        <v>84</v>
      </c>
      <c r="B22" s="42" t="s">
        <v>46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109"/>
      <c r="P22" s="109"/>
      <c r="Q22" s="109"/>
      <c r="R22" s="58"/>
      <c r="S22" s="49"/>
    </row>
    <row r="23" spans="1:19" ht="12.75">
      <c r="A23" t="s">
        <v>84</v>
      </c>
      <c r="B23" s="42" t="s">
        <v>47</v>
      </c>
      <c r="C23" s="54">
        <v>1</v>
      </c>
      <c r="D23" s="54">
        <v>1</v>
      </c>
      <c r="E23" s="54"/>
      <c r="F23" s="51">
        <f t="shared" si="0"/>
        <v>0.042361111111111106</v>
      </c>
      <c r="G23" s="52" t="s">
        <v>60</v>
      </c>
      <c r="H23" s="51">
        <v>10500</v>
      </c>
      <c r="I23" s="51">
        <f t="shared" si="1"/>
        <v>0.004034391534391534</v>
      </c>
      <c r="J23" s="53"/>
      <c r="K23" s="9">
        <f t="shared" si="2"/>
        <v>0</v>
      </c>
      <c r="L23" s="8">
        <f t="shared" si="3"/>
        <v>5</v>
      </c>
      <c r="M23" s="9">
        <f t="shared" si="4"/>
        <v>49</v>
      </c>
      <c r="N23" s="21">
        <f t="shared" si="5"/>
        <v>10.327868852459018</v>
      </c>
      <c r="O23" s="109">
        <v>126</v>
      </c>
      <c r="P23" s="109">
        <v>146</v>
      </c>
      <c r="Q23" s="109"/>
      <c r="R23" s="58"/>
      <c r="S23" s="49"/>
    </row>
    <row r="24" spans="1:19" ht="12.75">
      <c r="A24" t="s">
        <v>84</v>
      </c>
      <c r="B24" s="42" t="s">
        <v>48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109"/>
      <c r="P24" s="109"/>
      <c r="Q24" s="109"/>
      <c r="R24" s="58"/>
      <c r="S24" s="49"/>
    </row>
    <row r="25" spans="1:19" ht="12.75">
      <c r="A25" t="s">
        <v>84</v>
      </c>
      <c r="B25" s="42" t="s">
        <v>49</v>
      </c>
      <c r="C25" s="54"/>
      <c r="D25" s="54">
        <v>47</v>
      </c>
      <c r="E25" s="54"/>
      <c r="F25" s="51">
        <f t="shared" si="0"/>
        <v>0.03263888888888889</v>
      </c>
      <c r="G25" s="52" t="s">
        <v>60</v>
      </c>
      <c r="H25" s="51">
        <v>8000</v>
      </c>
      <c r="I25" s="51">
        <f t="shared" si="1"/>
        <v>0.004079861111111111</v>
      </c>
      <c r="J25" s="53"/>
      <c r="K25" s="9">
        <f t="shared" si="2"/>
        <v>0</v>
      </c>
      <c r="L25" s="8">
        <f t="shared" si="3"/>
        <v>5</v>
      </c>
      <c r="M25" s="9">
        <f t="shared" si="4"/>
        <v>53</v>
      </c>
      <c r="N25" s="21">
        <f t="shared" si="5"/>
        <v>10.212765957446807</v>
      </c>
      <c r="O25" s="109">
        <v>126</v>
      </c>
      <c r="P25" s="109">
        <v>146</v>
      </c>
      <c r="Q25" s="109"/>
      <c r="R25" s="58"/>
      <c r="S25" s="49"/>
    </row>
    <row r="26" spans="1:19" ht="12.75">
      <c r="A26" t="s">
        <v>84</v>
      </c>
      <c r="B26" s="42" t="s">
        <v>50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109"/>
      <c r="P26" s="109"/>
      <c r="Q26" s="109"/>
      <c r="R26" s="58"/>
      <c r="S26" s="49"/>
    </row>
    <row r="27" spans="1:19" ht="12.75">
      <c r="A27" t="s">
        <v>84</v>
      </c>
      <c r="B27" s="42" t="s">
        <v>51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109"/>
      <c r="P27" s="109"/>
      <c r="Q27" s="109"/>
      <c r="R27" s="58"/>
      <c r="S27" s="49"/>
    </row>
    <row r="28" spans="1:19" ht="12.75">
      <c r="A28" t="s">
        <v>84</v>
      </c>
      <c r="B28" s="42" t="s">
        <v>52</v>
      </c>
      <c r="C28" s="54"/>
      <c r="D28" s="54">
        <v>52</v>
      </c>
      <c r="E28" s="54"/>
      <c r="F28" s="51">
        <f t="shared" si="0"/>
        <v>0.036111111111111115</v>
      </c>
      <c r="G28" s="52" t="s">
        <v>60</v>
      </c>
      <c r="H28" s="51">
        <v>8800</v>
      </c>
      <c r="I28" s="51">
        <f t="shared" si="1"/>
        <v>0.004103535353535354</v>
      </c>
      <c r="J28" s="53"/>
      <c r="K28" s="9">
        <f t="shared" si="2"/>
        <v>0</v>
      </c>
      <c r="L28" s="8">
        <f t="shared" si="3"/>
        <v>5</v>
      </c>
      <c r="M28" s="9">
        <f t="shared" si="4"/>
        <v>55</v>
      </c>
      <c r="N28" s="21">
        <f t="shared" si="5"/>
        <v>10.153846153846153</v>
      </c>
      <c r="O28" s="109">
        <v>126</v>
      </c>
      <c r="P28" s="109">
        <v>146</v>
      </c>
      <c r="Q28" s="109"/>
      <c r="R28" s="58"/>
      <c r="S28" s="49"/>
    </row>
    <row r="29" spans="1:19" ht="12.75">
      <c r="A29" t="s">
        <v>84</v>
      </c>
      <c r="B29" s="42" t="s">
        <v>53</v>
      </c>
      <c r="C29" s="54"/>
      <c r="D29" s="54">
        <v>51</v>
      </c>
      <c r="E29" s="54"/>
      <c r="F29" s="51">
        <f t="shared" si="0"/>
        <v>0.035416666666666666</v>
      </c>
      <c r="G29" s="52" t="s">
        <v>60</v>
      </c>
      <c r="H29" s="51">
        <v>8800</v>
      </c>
      <c r="I29" s="51">
        <f t="shared" si="1"/>
        <v>0.004024621212121212</v>
      </c>
      <c r="J29" s="53"/>
      <c r="K29" s="9">
        <f t="shared" si="2"/>
        <v>0</v>
      </c>
      <c r="L29" s="8">
        <f t="shared" si="3"/>
        <v>5</v>
      </c>
      <c r="M29" s="9">
        <f t="shared" si="4"/>
        <v>48</v>
      </c>
      <c r="N29" s="21">
        <f t="shared" si="5"/>
        <v>10.352941176470587</v>
      </c>
      <c r="O29" s="109">
        <v>126</v>
      </c>
      <c r="P29" s="109">
        <v>146</v>
      </c>
      <c r="Q29" s="109"/>
      <c r="R29" s="58"/>
      <c r="S29" s="49"/>
    </row>
    <row r="30" spans="1:19" ht="12.75">
      <c r="A30" t="s">
        <v>84</v>
      </c>
      <c r="B30" s="42" t="s">
        <v>54</v>
      </c>
      <c r="C30" s="54">
        <v>1</v>
      </c>
      <c r="D30" s="54">
        <v>34</v>
      </c>
      <c r="E30" s="54"/>
      <c r="F30" s="51">
        <f t="shared" si="0"/>
        <v>0.06527777777777778</v>
      </c>
      <c r="G30" s="52" t="s">
        <v>60</v>
      </c>
      <c r="H30" s="51">
        <v>17000</v>
      </c>
      <c r="I30" s="51">
        <f t="shared" si="1"/>
        <v>0.0038398692810457523</v>
      </c>
      <c r="J30" s="53"/>
      <c r="K30" s="9">
        <f t="shared" si="2"/>
        <v>0</v>
      </c>
      <c r="L30" s="8">
        <f t="shared" si="3"/>
        <v>5</v>
      </c>
      <c r="M30" s="9">
        <f t="shared" si="4"/>
        <v>32</v>
      </c>
      <c r="N30" s="21">
        <f t="shared" si="5"/>
        <v>10.851063829787233</v>
      </c>
      <c r="O30" s="109">
        <v>126</v>
      </c>
      <c r="P30" s="109">
        <v>156</v>
      </c>
      <c r="Q30" s="109"/>
      <c r="R30" s="58"/>
      <c r="S30" s="49"/>
    </row>
    <row r="31" spans="1:19" ht="12.75">
      <c r="A31" t="s">
        <v>84</v>
      </c>
      <c r="B31" s="42" t="s">
        <v>55</v>
      </c>
      <c r="C31" s="54"/>
      <c r="D31" s="54"/>
      <c r="E31" s="54"/>
      <c r="F31" s="51">
        <f t="shared" si="0"/>
      </c>
      <c r="G31" s="52"/>
      <c r="H31" s="51"/>
      <c r="I31" s="51">
        <f t="shared" si="1"/>
      </c>
      <c r="J31" s="53"/>
      <c r="K31" s="9">
        <f t="shared" si="2"/>
      </c>
      <c r="L31" s="8">
        <f t="shared" si="3"/>
      </c>
      <c r="M31" s="9">
        <f t="shared" si="4"/>
      </c>
      <c r="N31" s="21">
        <f t="shared" si="5"/>
      </c>
      <c r="O31" s="109"/>
      <c r="P31" s="109"/>
      <c r="Q31" s="109"/>
      <c r="R31" s="58"/>
      <c r="S31" s="49"/>
    </row>
    <row r="32" spans="1:19" ht="12.75">
      <c r="A32" t="s">
        <v>84</v>
      </c>
      <c r="B32" s="42" t="s">
        <v>56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109"/>
      <c r="P32" s="109"/>
      <c r="Q32" s="109"/>
      <c r="R32" s="58"/>
      <c r="S32" s="49"/>
    </row>
    <row r="33" spans="1:19" ht="12.75">
      <c r="A33" t="s">
        <v>84</v>
      </c>
      <c r="B33" s="42" t="s">
        <v>57</v>
      </c>
      <c r="C33" s="54">
        <v>1</v>
      </c>
      <c r="D33" s="54">
        <v>5</v>
      </c>
      <c r="E33" s="54"/>
      <c r="F33" s="51">
        <f t="shared" si="0"/>
        <v>0.04513888888888889</v>
      </c>
      <c r="G33" s="52" t="s">
        <v>60</v>
      </c>
      <c r="H33" s="51">
        <v>10500</v>
      </c>
      <c r="I33" s="51">
        <f t="shared" si="1"/>
        <v>0.004298941798941799</v>
      </c>
      <c r="J33" s="53"/>
      <c r="K33" s="9">
        <f t="shared" si="2"/>
        <v>0</v>
      </c>
      <c r="L33" s="8">
        <f t="shared" si="3"/>
        <v>6</v>
      </c>
      <c r="M33" s="9">
        <f t="shared" si="4"/>
        <v>11</v>
      </c>
      <c r="N33" s="21">
        <f t="shared" si="5"/>
        <v>9.692307692307693</v>
      </c>
      <c r="O33" s="109">
        <v>127</v>
      </c>
      <c r="P33" s="109">
        <v>127</v>
      </c>
      <c r="Q33" s="109"/>
      <c r="R33" s="58"/>
      <c r="S33" s="49"/>
    </row>
    <row r="34" ht="13.5" thickBot="1"/>
    <row r="35" spans="2:19" ht="13.5" thickBot="1">
      <c r="B35" s="41" t="s">
        <v>24</v>
      </c>
      <c r="C35" s="16">
        <f>HOUR(F35)</f>
        <v>10</v>
      </c>
      <c r="D35" s="16">
        <f>MINUTE(F35)</f>
        <v>30</v>
      </c>
      <c r="E35" s="17">
        <f>SECOND(F35)</f>
        <v>0</v>
      </c>
      <c r="F35" s="2">
        <f>SUMIF($G$3:$G$33,"x",F3:F33)</f>
        <v>0.4375</v>
      </c>
      <c r="G35" s="29">
        <f>COUNTIF(G3:G33,"x")</f>
        <v>11</v>
      </c>
      <c r="H35" s="2">
        <f>SUMIF($G$3:$G$33,"x",H3:H33)</f>
        <v>110600</v>
      </c>
      <c r="I35" s="2">
        <f>AVERAGE(I3:I34)</f>
        <v>0.00396248429071337</v>
      </c>
      <c r="K35" s="13">
        <f>IF(G35=0,"",HOUR(I35))</f>
        <v>0</v>
      </c>
      <c r="L35" s="14">
        <f>IF(G35=0,"",MINUTE(I35))</f>
        <v>5</v>
      </c>
      <c r="M35" s="14">
        <f>IF(G35=0,"",SECOND(I35))</f>
        <v>42</v>
      </c>
      <c r="N35" s="23">
        <f>IF(G35=0,"",($T$2*H35/F35)/1000)</f>
        <v>10.533333333333331</v>
      </c>
      <c r="O35" s="115"/>
      <c r="P35" s="115"/>
      <c r="Q35" s="115"/>
      <c r="R35" s="60">
        <f>SUM(R3:R33)</f>
        <v>0</v>
      </c>
      <c r="S35" s="15" t="s">
        <v>11</v>
      </c>
    </row>
  </sheetData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19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H34" sqref="H34"/>
    </sheetView>
  </sheetViews>
  <sheetFormatPr defaultColWidth="11.421875" defaultRowHeight="12.75"/>
  <cols>
    <col min="1" max="1" width="4.57421875" style="0" hidden="1" customWidth="1"/>
    <col min="2" max="2" width="11.28125" style="40" bestFit="1" customWidth="1"/>
    <col min="3" max="5" width="3.00390625" style="1" bestFit="1" customWidth="1"/>
    <col min="6" max="6" width="12.00390625" style="2" hidden="1" customWidth="1"/>
    <col min="7" max="7" width="7.28125" style="29" bestFit="1" customWidth="1"/>
    <col min="8" max="8" width="8.28125" style="2" bestFit="1" customWidth="1"/>
    <col min="9" max="9" width="12.8515625" style="2" hidden="1" customWidth="1"/>
    <col min="10" max="10" width="7.140625" style="25" bestFit="1" customWidth="1"/>
    <col min="11" max="11" width="2.28125" style="0" bestFit="1" customWidth="1"/>
    <col min="12" max="12" width="2.57421875" style="0" bestFit="1" customWidth="1"/>
    <col min="13" max="13" width="3.00390625" style="0" bestFit="1" customWidth="1"/>
    <col min="14" max="14" width="5.421875" style="22" bestFit="1" customWidth="1"/>
    <col min="15" max="15" width="5.00390625" style="1" bestFit="1" customWidth="1"/>
    <col min="16" max="16" width="5.00390625" style="1" customWidth="1"/>
    <col min="17" max="17" width="5.00390625" style="22" customWidth="1"/>
    <col min="18" max="18" width="4.8515625" style="59" bestFit="1" customWidth="1"/>
    <col min="19" max="19" width="11.7109375" style="0" bestFit="1" customWidth="1"/>
    <col min="20" max="20" width="12.00390625" style="1" hidden="1" customWidth="1"/>
    <col min="21" max="16384" width="2.8515625" style="0" customWidth="1"/>
  </cols>
  <sheetData>
    <row r="1" spans="2:20" ht="13.5" thickBot="1">
      <c r="B1" s="39"/>
      <c r="C1" s="117" t="s">
        <v>0</v>
      </c>
      <c r="D1" s="118"/>
      <c r="E1" s="119"/>
      <c r="F1" s="3"/>
      <c r="G1" s="3"/>
      <c r="H1" s="18"/>
      <c r="I1" s="4"/>
      <c r="J1" s="45"/>
      <c r="K1" s="120" t="s">
        <v>9</v>
      </c>
      <c r="L1" s="121"/>
      <c r="M1" s="122"/>
      <c r="N1" s="19" t="s">
        <v>14</v>
      </c>
      <c r="O1" s="113"/>
      <c r="P1" s="113"/>
      <c r="Q1" s="19"/>
      <c r="R1" s="56"/>
      <c r="S1" s="6"/>
      <c r="T1" s="1" t="s">
        <v>13</v>
      </c>
    </row>
    <row r="2" spans="2:20" ht="26.25" thickBot="1">
      <c r="B2" s="24" t="s">
        <v>58</v>
      </c>
      <c r="C2" s="10" t="s">
        <v>7</v>
      </c>
      <c r="D2" s="10" t="s">
        <v>8</v>
      </c>
      <c r="E2" s="10" t="s">
        <v>6</v>
      </c>
      <c r="F2" s="5" t="s">
        <v>4</v>
      </c>
      <c r="G2" s="43" t="s">
        <v>59</v>
      </c>
      <c r="H2" s="44" t="s">
        <v>61</v>
      </c>
      <c r="I2" s="5" t="s">
        <v>5</v>
      </c>
      <c r="J2" s="46" t="s">
        <v>2</v>
      </c>
      <c r="K2" s="11" t="s">
        <v>7</v>
      </c>
      <c r="L2" s="12" t="s">
        <v>8</v>
      </c>
      <c r="M2" s="12" t="s">
        <v>6</v>
      </c>
      <c r="N2" s="20"/>
      <c r="O2" s="114" t="s">
        <v>62</v>
      </c>
      <c r="P2" s="114" t="s">
        <v>63</v>
      </c>
      <c r="Q2" s="55"/>
      <c r="R2" s="57" t="s">
        <v>74</v>
      </c>
      <c r="S2" s="7" t="s">
        <v>10</v>
      </c>
      <c r="T2" s="2">
        <f>TIME(1,0,0)</f>
        <v>0.041666666666666664</v>
      </c>
    </row>
    <row r="3" spans="1:19" ht="12.75">
      <c r="A3" t="s">
        <v>85</v>
      </c>
      <c r="B3" s="42" t="s">
        <v>27</v>
      </c>
      <c r="C3" s="50"/>
      <c r="D3" s="50">
        <v>41</v>
      </c>
      <c r="E3" s="50"/>
      <c r="F3" s="51">
        <f aca="true" t="shared" si="0" ref="F3:F33">IF(G3="x",TIME(C3,D3,E3),"")</f>
        <v>0.02847222222222222</v>
      </c>
      <c r="G3" s="52" t="s">
        <v>60</v>
      </c>
      <c r="H3" s="51">
        <v>7000</v>
      </c>
      <c r="I3" s="51">
        <f aca="true" t="shared" si="1" ref="I3:I33">IF(G3="x",F3*1000/H3,"")</f>
        <v>0.004067460317460318</v>
      </c>
      <c r="J3" s="53"/>
      <c r="K3" s="9">
        <f aca="true" t="shared" si="2" ref="K3:K33">IF(G3="x",HOUR(I3),"")</f>
        <v>0</v>
      </c>
      <c r="L3" s="8">
        <f aca="true" t="shared" si="3" ref="L3:L33">IF(G3="x",MINUTE(I3),"")</f>
        <v>5</v>
      </c>
      <c r="M3" s="9">
        <f aca="true" t="shared" si="4" ref="M3:M33">IF(G3="x",SECOND(I3),"")</f>
        <v>51</v>
      </c>
      <c r="N3" s="21">
        <f aca="true" t="shared" si="5" ref="N3:N33">IF(G3="x",($T$2*H3/F3)/1000,"")</f>
        <v>10.243902439024389</v>
      </c>
      <c r="O3" s="109">
        <v>137</v>
      </c>
      <c r="P3" s="109">
        <v>137</v>
      </c>
      <c r="Q3" s="47"/>
      <c r="R3" s="58"/>
      <c r="S3" s="48"/>
    </row>
    <row r="4" spans="1:19" ht="12.75">
      <c r="A4" t="s">
        <v>85</v>
      </c>
      <c r="B4" s="42" t="s">
        <v>28</v>
      </c>
      <c r="C4" s="54">
        <v>1</v>
      </c>
      <c r="D4" s="54">
        <v>17</v>
      </c>
      <c r="E4" s="54"/>
      <c r="F4" s="51">
        <f t="shared" si="0"/>
        <v>0.05347222222222222</v>
      </c>
      <c r="G4" s="52" t="s">
        <v>60</v>
      </c>
      <c r="H4" s="51">
        <v>12500</v>
      </c>
      <c r="I4" s="51">
        <f t="shared" si="1"/>
        <v>0.004277777777777778</v>
      </c>
      <c r="J4" s="53"/>
      <c r="K4" s="9">
        <f t="shared" si="2"/>
        <v>0</v>
      </c>
      <c r="L4" s="8">
        <f t="shared" si="3"/>
        <v>6</v>
      </c>
      <c r="M4" s="9">
        <f t="shared" si="4"/>
        <v>10</v>
      </c>
      <c r="N4" s="21">
        <f t="shared" si="5"/>
        <v>9.740259740259738</v>
      </c>
      <c r="O4" s="109">
        <v>127</v>
      </c>
      <c r="P4" s="109">
        <v>137</v>
      </c>
      <c r="Q4" s="47"/>
      <c r="R4" s="58"/>
      <c r="S4" s="49"/>
    </row>
    <row r="5" spans="1:19" ht="12.75">
      <c r="A5" t="s">
        <v>85</v>
      </c>
      <c r="B5" s="42" t="s">
        <v>29</v>
      </c>
      <c r="C5" s="54"/>
      <c r="D5" s="54">
        <v>42</v>
      </c>
      <c r="E5" s="54"/>
      <c r="F5" s="51">
        <f t="shared" si="0"/>
        <v>0.029166666666666664</v>
      </c>
      <c r="G5" s="52" t="s">
        <v>60</v>
      </c>
      <c r="H5" s="51">
        <v>8000</v>
      </c>
      <c r="I5" s="51">
        <f t="shared" si="1"/>
        <v>0.003645833333333333</v>
      </c>
      <c r="J5" s="53"/>
      <c r="K5" s="9">
        <f t="shared" si="2"/>
        <v>0</v>
      </c>
      <c r="L5" s="8">
        <f t="shared" si="3"/>
        <v>5</v>
      </c>
      <c r="M5" s="9">
        <f t="shared" si="4"/>
        <v>15</v>
      </c>
      <c r="N5" s="21">
        <f t="shared" si="5"/>
        <v>11.428571428571429</v>
      </c>
      <c r="O5" s="109">
        <v>127</v>
      </c>
      <c r="P5" s="109">
        <v>160</v>
      </c>
      <c r="Q5" s="47"/>
      <c r="R5" s="58"/>
      <c r="S5" s="49"/>
    </row>
    <row r="6" spans="1:19" ht="12.75">
      <c r="A6" t="s">
        <v>85</v>
      </c>
      <c r="B6" s="42" t="s">
        <v>30</v>
      </c>
      <c r="C6" s="54"/>
      <c r="D6" s="54"/>
      <c r="E6" s="54"/>
      <c r="F6" s="51">
        <f t="shared" si="0"/>
      </c>
      <c r="G6" s="52"/>
      <c r="H6" s="51"/>
      <c r="I6" s="51">
        <f t="shared" si="1"/>
      </c>
      <c r="J6" s="53"/>
      <c r="K6" s="9">
        <f t="shared" si="2"/>
      </c>
      <c r="L6" s="8">
        <f t="shared" si="3"/>
      </c>
      <c r="M6" s="9">
        <f t="shared" si="4"/>
      </c>
      <c r="N6" s="21">
        <f t="shared" si="5"/>
      </c>
      <c r="O6" s="109"/>
      <c r="P6" s="109"/>
      <c r="Q6" s="47"/>
      <c r="R6" s="58"/>
      <c r="S6" s="49"/>
    </row>
    <row r="7" spans="1:19" ht="12.75">
      <c r="A7" t="s">
        <v>85</v>
      </c>
      <c r="B7" s="42" t="s">
        <v>31</v>
      </c>
      <c r="C7" s="54">
        <v>1</v>
      </c>
      <c r="D7" s="54">
        <v>20</v>
      </c>
      <c r="E7" s="54"/>
      <c r="F7" s="51">
        <f t="shared" si="0"/>
        <v>0.05555555555555555</v>
      </c>
      <c r="G7" s="52" t="s">
        <v>60</v>
      </c>
      <c r="H7" s="51">
        <v>14500</v>
      </c>
      <c r="I7" s="51">
        <f t="shared" si="1"/>
        <v>0.0038314176245210726</v>
      </c>
      <c r="J7" s="53"/>
      <c r="K7" s="9">
        <f t="shared" si="2"/>
        <v>0</v>
      </c>
      <c r="L7" s="8">
        <f t="shared" si="3"/>
        <v>5</v>
      </c>
      <c r="M7" s="9">
        <f t="shared" si="4"/>
        <v>31</v>
      </c>
      <c r="N7" s="21">
        <f t="shared" si="5"/>
        <v>10.875</v>
      </c>
      <c r="O7" s="109">
        <v>127</v>
      </c>
      <c r="P7" s="109">
        <v>146</v>
      </c>
      <c r="Q7" s="47"/>
      <c r="R7" s="58"/>
      <c r="S7" s="49"/>
    </row>
    <row r="8" spans="1:19" ht="12.75">
      <c r="A8" t="s">
        <v>85</v>
      </c>
      <c r="B8" s="42" t="s">
        <v>32</v>
      </c>
      <c r="C8" s="54"/>
      <c r="D8" s="54"/>
      <c r="E8" s="54"/>
      <c r="F8" s="51">
        <f t="shared" si="0"/>
      </c>
      <c r="G8" s="52"/>
      <c r="H8" s="51"/>
      <c r="I8" s="51">
        <f t="shared" si="1"/>
      </c>
      <c r="J8" s="53"/>
      <c r="K8" s="9">
        <f t="shared" si="2"/>
      </c>
      <c r="L8" s="8">
        <f t="shared" si="3"/>
      </c>
      <c r="M8" s="9">
        <f t="shared" si="4"/>
      </c>
      <c r="N8" s="21">
        <f t="shared" si="5"/>
      </c>
      <c r="O8" s="109"/>
      <c r="P8" s="109"/>
      <c r="Q8" s="47"/>
      <c r="R8" s="58"/>
      <c r="S8" s="49"/>
    </row>
    <row r="9" spans="1:19" ht="12.75">
      <c r="A9" t="s">
        <v>85</v>
      </c>
      <c r="B9" s="42" t="s">
        <v>33</v>
      </c>
      <c r="C9" s="54">
        <v>1</v>
      </c>
      <c r="D9" s="54">
        <v>1</v>
      </c>
      <c r="E9" s="54"/>
      <c r="F9" s="51">
        <f t="shared" si="0"/>
        <v>0.042361111111111106</v>
      </c>
      <c r="G9" s="52" t="s">
        <v>60</v>
      </c>
      <c r="H9" s="51">
        <v>10000</v>
      </c>
      <c r="I9" s="51">
        <f t="shared" si="1"/>
        <v>0.004236111111111111</v>
      </c>
      <c r="J9" s="53"/>
      <c r="K9" s="9">
        <f t="shared" si="2"/>
        <v>0</v>
      </c>
      <c r="L9" s="8">
        <f t="shared" si="3"/>
        <v>6</v>
      </c>
      <c r="M9" s="9">
        <f t="shared" si="4"/>
        <v>6</v>
      </c>
      <c r="N9" s="21">
        <f t="shared" si="5"/>
        <v>9.836065573770492</v>
      </c>
      <c r="O9" s="109">
        <v>127</v>
      </c>
      <c r="P9" s="109">
        <v>136</v>
      </c>
      <c r="Q9" s="47"/>
      <c r="R9" s="58"/>
      <c r="S9" s="49"/>
    </row>
    <row r="10" spans="1:19" ht="12.75">
      <c r="A10" t="s">
        <v>85</v>
      </c>
      <c r="B10" s="42" t="s">
        <v>34</v>
      </c>
      <c r="C10" s="54"/>
      <c r="D10" s="54">
        <v>41</v>
      </c>
      <c r="E10" s="54">
        <v>20</v>
      </c>
      <c r="F10" s="51">
        <f t="shared" si="0"/>
        <v>0.028703703703703703</v>
      </c>
      <c r="G10" s="52" t="s">
        <v>60</v>
      </c>
      <c r="H10" s="51">
        <v>7500</v>
      </c>
      <c r="I10" s="51">
        <f t="shared" si="1"/>
        <v>0.00382716049382716</v>
      </c>
      <c r="J10" s="53"/>
      <c r="K10" s="9">
        <f t="shared" si="2"/>
        <v>0</v>
      </c>
      <c r="L10" s="8">
        <f t="shared" si="3"/>
        <v>5</v>
      </c>
      <c r="M10" s="9">
        <f t="shared" si="4"/>
        <v>31</v>
      </c>
      <c r="N10" s="21">
        <f t="shared" si="5"/>
        <v>10.88709677419355</v>
      </c>
      <c r="O10" s="109">
        <v>127</v>
      </c>
      <c r="P10" s="109">
        <v>137</v>
      </c>
      <c r="Q10" s="47"/>
      <c r="R10" s="58"/>
      <c r="S10" s="49"/>
    </row>
    <row r="11" spans="1:19" ht="12.75">
      <c r="A11" t="s">
        <v>85</v>
      </c>
      <c r="B11" s="42" t="s">
        <v>35</v>
      </c>
      <c r="C11" s="54">
        <v>1</v>
      </c>
      <c r="D11" s="54">
        <v>26</v>
      </c>
      <c r="E11" s="54">
        <v>30</v>
      </c>
      <c r="F11" s="51">
        <f t="shared" si="0"/>
        <v>0.060069444444444446</v>
      </c>
      <c r="G11" s="52" t="s">
        <v>60</v>
      </c>
      <c r="H11" s="51">
        <v>15200</v>
      </c>
      <c r="I11" s="51">
        <f t="shared" si="1"/>
        <v>0.0039519371345029235</v>
      </c>
      <c r="J11" s="53"/>
      <c r="K11" s="9">
        <f t="shared" si="2"/>
        <v>0</v>
      </c>
      <c r="L11" s="8">
        <f t="shared" si="3"/>
        <v>5</v>
      </c>
      <c r="M11" s="9">
        <f t="shared" si="4"/>
        <v>41</v>
      </c>
      <c r="N11" s="21">
        <f t="shared" si="5"/>
        <v>10.543352601156068</v>
      </c>
      <c r="O11" s="109">
        <v>127</v>
      </c>
      <c r="P11" s="109">
        <v>147</v>
      </c>
      <c r="Q11" s="47"/>
      <c r="R11" s="58"/>
      <c r="S11" s="49"/>
    </row>
    <row r="12" spans="1:19" ht="12.75">
      <c r="A12" t="s">
        <v>85</v>
      </c>
      <c r="B12" s="42" t="s">
        <v>36</v>
      </c>
      <c r="C12" s="54"/>
      <c r="D12" s="54"/>
      <c r="E12" s="54"/>
      <c r="F12" s="51">
        <f t="shared" si="0"/>
      </c>
      <c r="G12" s="52"/>
      <c r="H12" s="51"/>
      <c r="I12" s="51">
        <f t="shared" si="1"/>
      </c>
      <c r="J12" s="53"/>
      <c r="K12" s="9">
        <f t="shared" si="2"/>
      </c>
      <c r="L12" s="8">
        <f t="shared" si="3"/>
      </c>
      <c r="M12" s="9">
        <f t="shared" si="4"/>
      </c>
      <c r="N12" s="21">
        <f t="shared" si="5"/>
      </c>
      <c r="O12" s="109"/>
      <c r="P12" s="109"/>
      <c r="Q12" s="47"/>
      <c r="R12" s="58"/>
      <c r="S12" s="49"/>
    </row>
    <row r="13" spans="1:19" ht="12.75">
      <c r="A13" t="s">
        <v>85</v>
      </c>
      <c r="B13" s="42" t="s">
        <v>37</v>
      </c>
      <c r="C13" s="54"/>
      <c r="D13" s="54"/>
      <c r="E13" s="54"/>
      <c r="F13" s="51">
        <f t="shared" si="0"/>
      </c>
      <c r="G13" s="52"/>
      <c r="H13" s="51"/>
      <c r="I13" s="51">
        <f t="shared" si="1"/>
      </c>
      <c r="J13" s="53"/>
      <c r="K13" s="9">
        <f t="shared" si="2"/>
      </c>
      <c r="L13" s="8">
        <f t="shared" si="3"/>
      </c>
      <c r="M13" s="9">
        <f t="shared" si="4"/>
      </c>
      <c r="N13" s="21">
        <f t="shared" si="5"/>
      </c>
      <c r="O13" s="109"/>
      <c r="P13" s="109"/>
      <c r="Q13" s="47"/>
      <c r="R13" s="58"/>
      <c r="S13" s="49"/>
    </row>
    <row r="14" spans="1:19" ht="12.75">
      <c r="A14" t="s">
        <v>85</v>
      </c>
      <c r="B14" s="42" t="s">
        <v>38</v>
      </c>
      <c r="C14" s="54"/>
      <c r="D14" s="54"/>
      <c r="E14" s="54"/>
      <c r="F14" s="51">
        <f t="shared" si="0"/>
      </c>
      <c r="G14" s="52"/>
      <c r="H14" s="51"/>
      <c r="I14" s="51">
        <f t="shared" si="1"/>
      </c>
      <c r="J14" s="53"/>
      <c r="K14" s="9">
        <f t="shared" si="2"/>
      </c>
      <c r="L14" s="8">
        <f t="shared" si="3"/>
      </c>
      <c r="M14" s="9">
        <f t="shared" si="4"/>
      </c>
      <c r="N14" s="21">
        <f t="shared" si="5"/>
      </c>
      <c r="O14" s="109"/>
      <c r="P14" s="109"/>
      <c r="Q14" s="47"/>
      <c r="R14" s="58"/>
      <c r="S14" s="49"/>
    </row>
    <row r="15" spans="1:19" ht="12.75">
      <c r="A15" t="s">
        <v>85</v>
      </c>
      <c r="B15" s="42" t="s">
        <v>39</v>
      </c>
      <c r="C15" s="54"/>
      <c r="D15" s="54"/>
      <c r="E15" s="54"/>
      <c r="F15" s="51">
        <f t="shared" si="0"/>
      </c>
      <c r="G15" s="52"/>
      <c r="H15" s="51"/>
      <c r="I15" s="51">
        <f t="shared" si="1"/>
      </c>
      <c r="J15" s="53"/>
      <c r="K15" s="9">
        <f t="shared" si="2"/>
      </c>
      <c r="L15" s="8">
        <f t="shared" si="3"/>
      </c>
      <c r="M15" s="9">
        <f t="shared" si="4"/>
      </c>
      <c r="N15" s="21">
        <f t="shared" si="5"/>
      </c>
      <c r="O15" s="109"/>
      <c r="P15" s="109"/>
      <c r="Q15" s="47"/>
      <c r="R15" s="58"/>
      <c r="S15" s="49"/>
    </row>
    <row r="16" spans="1:19" ht="12.75">
      <c r="A16" t="s">
        <v>85</v>
      </c>
      <c r="B16" s="42" t="s">
        <v>40</v>
      </c>
      <c r="C16" s="54">
        <v>1</v>
      </c>
      <c r="D16" s="54">
        <v>5</v>
      </c>
      <c r="E16" s="54"/>
      <c r="F16" s="51">
        <f t="shared" si="0"/>
        <v>0.04513888888888889</v>
      </c>
      <c r="G16" s="52" t="s">
        <v>60</v>
      </c>
      <c r="H16" s="51">
        <v>11000</v>
      </c>
      <c r="I16" s="51">
        <f t="shared" si="1"/>
        <v>0.004103535353535353</v>
      </c>
      <c r="J16" s="53"/>
      <c r="K16" s="9">
        <f t="shared" si="2"/>
        <v>0</v>
      </c>
      <c r="L16" s="8">
        <f t="shared" si="3"/>
        <v>5</v>
      </c>
      <c r="M16" s="9">
        <f t="shared" si="4"/>
        <v>55</v>
      </c>
      <c r="N16" s="21">
        <f t="shared" si="5"/>
        <v>10.153846153846155</v>
      </c>
      <c r="O16" s="109">
        <v>127</v>
      </c>
      <c r="P16" s="109">
        <v>137</v>
      </c>
      <c r="Q16" s="47"/>
      <c r="R16" s="58"/>
      <c r="S16" s="49"/>
    </row>
    <row r="17" spans="1:19" ht="12.75">
      <c r="A17" t="s">
        <v>85</v>
      </c>
      <c r="B17" s="42" t="s">
        <v>41</v>
      </c>
      <c r="C17" s="54"/>
      <c r="D17" s="54">
        <v>57</v>
      </c>
      <c r="E17" s="54">
        <v>20</v>
      </c>
      <c r="F17" s="51">
        <f t="shared" si="0"/>
        <v>0.03981481481481482</v>
      </c>
      <c r="G17" s="52" t="s">
        <v>60</v>
      </c>
      <c r="H17" s="51">
        <v>11000</v>
      </c>
      <c r="I17" s="51">
        <f t="shared" si="1"/>
        <v>0.0036195286195286197</v>
      </c>
      <c r="J17" s="53"/>
      <c r="K17" s="9">
        <f t="shared" si="2"/>
        <v>0</v>
      </c>
      <c r="L17" s="8">
        <f t="shared" si="3"/>
        <v>5</v>
      </c>
      <c r="M17" s="9">
        <f t="shared" si="4"/>
        <v>13</v>
      </c>
      <c r="N17" s="21">
        <f t="shared" si="5"/>
        <v>11.511627906976743</v>
      </c>
      <c r="O17" s="109">
        <v>137</v>
      </c>
      <c r="P17" s="109">
        <v>147</v>
      </c>
      <c r="Q17" s="47"/>
      <c r="R17" s="58"/>
      <c r="S17" s="49"/>
    </row>
    <row r="18" spans="1:19" ht="12.75">
      <c r="A18" t="s">
        <v>85</v>
      </c>
      <c r="B18" s="42" t="s">
        <v>42</v>
      </c>
      <c r="C18" s="54"/>
      <c r="D18" s="54"/>
      <c r="E18" s="54"/>
      <c r="F18" s="51">
        <f t="shared" si="0"/>
      </c>
      <c r="G18" s="52"/>
      <c r="H18" s="51"/>
      <c r="I18" s="51">
        <f t="shared" si="1"/>
      </c>
      <c r="J18" s="53"/>
      <c r="K18" s="9">
        <f t="shared" si="2"/>
      </c>
      <c r="L18" s="8">
        <f t="shared" si="3"/>
      </c>
      <c r="M18" s="9">
        <f t="shared" si="4"/>
      </c>
      <c r="N18" s="21">
        <f t="shared" si="5"/>
      </c>
      <c r="O18" s="109"/>
      <c r="P18" s="109"/>
      <c r="Q18" s="47"/>
      <c r="R18" s="58"/>
      <c r="S18" s="49"/>
    </row>
    <row r="19" spans="1:19" ht="12.75">
      <c r="A19" t="s">
        <v>85</v>
      </c>
      <c r="B19" s="42" t="s">
        <v>43</v>
      </c>
      <c r="C19" s="54">
        <v>1</v>
      </c>
      <c r="D19" s="54">
        <v>45</v>
      </c>
      <c r="E19" s="54">
        <v>30</v>
      </c>
      <c r="F19" s="51">
        <f t="shared" si="0"/>
        <v>0.07326388888888889</v>
      </c>
      <c r="G19" s="52" t="s">
        <v>60</v>
      </c>
      <c r="H19" s="51">
        <v>18800</v>
      </c>
      <c r="I19" s="51">
        <f t="shared" si="1"/>
        <v>0.00389701536643026</v>
      </c>
      <c r="J19" s="53"/>
      <c r="K19" s="9">
        <f t="shared" si="2"/>
        <v>0</v>
      </c>
      <c r="L19" s="8">
        <f t="shared" si="3"/>
        <v>5</v>
      </c>
      <c r="M19" s="9">
        <f t="shared" si="4"/>
        <v>37</v>
      </c>
      <c r="N19" s="21">
        <f t="shared" si="5"/>
        <v>10.691943127962084</v>
      </c>
      <c r="O19" s="109">
        <v>127</v>
      </c>
      <c r="P19" s="109">
        <v>146</v>
      </c>
      <c r="Q19" s="47"/>
      <c r="R19" s="58"/>
      <c r="S19" s="49"/>
    </row>
    <row r="20" spans="1:19" ht="12.75">
      <c r="A20" t="s">
        <v>85</v>
      </c>
      <c r="B20" s="42" t="s">
        <v>44</v>
      </c>
      <c r="C20" s="54"/>
      <c r="D20" s="54"/>
      <c r="E20" s="54"/>
      <c r="F20" s="51">
        <f t="shared" si="0"/>
      </c>
      <c r="G20" s="52"/>
      <c r="H20" s="51"/>
      <c r="I20" s="51">
        <f t="shared" si="1"/>
      </c>
      <c r="J20" s="53"/>
      <c r="K20" s="9">
        <f t="shared" si="2"/>
      </c>
      <c r="L20" s="8">
        <f t="shared" si="3"/>
      </c>
      <c r="M20" s="9">
        <f t="shared" si="4"/>
      </c>
      <c r="N20" s="21">
        <f t="shared" si="5"/>
      </c>
      <c r="O20" s="109"/>
      <c r="P20" s="109"/>
      <c r="Q20" s="47"/>
      <c r="R20" s="58"/>
      <c r="S20" s="49"/>
    </row>
    <row r="21" spans="1:19" ht="12.75">
      <c r="A21" t="s">
        <v>85</v>
      </c>
      <c r="B21" s="42" t="s">
        <v>45</v>
      </c>
      <c r="C21" s="54">
        <v>1</v>
      </c>
      <c r="D21" s="54">
        <v>4</v>
      </c>
      <c r="E21" s="54">
        <v>40</v>
      </c>
      <c r="F21" s="51">
        <f t="shared" si="0"/>
        <v>0.0449074074074074</v>
      </c>
      <c r="G21" s="52" t="s">
        <v>60</v>
      </c>
      <c r="H21" s="51">
        <v>11000</v>
      </c>
      <c r="I21" s="51">
        <f t="shared" si="1"/>
        <v>0.0040824915824915825</v>
      </c>
      <c r="J21" s="53"/>
      <c r="K21" s="9">
        <f t="shared" si="2"/>
        <v>0</v>
      </c>
      <c r="L21" s="8">
        <f t="shared" si="3"/>
        <v>5</v>
      </c>
      <c r="M21" s="9">
        <f t="shared" si="4"/>
        <v>53</v>
      </c>
      <c r="N21" s="21">
        <f t="shared" si="5"/>
        <v>10.20618556701031</v>
      </c>
      <c r="O21" s="109">
        <v>127</v>
      </c>
      <c r="P21" s="109">
        <v>137</v>
      </c>
      <c r="Q21" s="47"/>
      <c r="R21" s="58"/>
      <c r="S21" s="49"/>
    </row>
    <row r="22" spans="1:19" ht="12.75">
      <c r="A22" t="s">
        <v>85</v>
      </c>
      <c r="B22" s="42" t="s">
        <v>46</v>
      </c>
      <c r="C22" s="54"/>
      <c r="D22" s="54"/>
      <c r="E22" s="54"/>
      <c r="F22" s="51">
        <f t="shared" si="0"/>
      </c>
      <c r="G22" s="52"/>
      <c r="H22" s="51"/>
      <c r="I22" s="51">
        <f t="shared" si="1"/>
      </c>
      <c r="J22" s="53"/>
      <c r="K22" s="9">
        <f t="shared" si="2"/>
      </c>
      <c r="L22" s="8">
        <f t="shared" si="3"/>
      </c>
      <c r="M22" s="9">
        <f t="shared" si="4"/>
      </c>
      <c r="N22" s="21">
        <f t="shared" si="5"/>
      </c>
      <c r="O22" s="109"/>
      <c r="P22" s="109"/>
      <c r="Q22" s="47"/>
      <c r="R22" s="58"/>
      <c r="S22" s="49"/>
    </row>
    <row r="23" spans="1:19" ht="12.75">
      <c r="A23" t="s">
        <v>85</v>
      </c>
      <c r="B23" s="42" t="s">
        <v>47</v>
      </c>
      <c r="C23" s="54">
        <v>1</v>
      </c>
      <c r="D23" s="54">
        <v>5</v>
      </c>
      <c r="E23" s="54"/>
      <c r="F23" s="51">
        <f t="shared" si="0"/>
        <v>0.04513888888888889</v>
      </c>
      <c r="G23" s="52" t="s">
        <v>60</v>
      </c>
      <c r="H23" s="51">
        <v>11500</v>
      </c>
      <c r="I23" s="51">
        <f t="shared" si="1"/>
        <v>0.00392512077294686</v>
      </c>
      <c r="J23" s="53"/>
      <c r="K23" s="9">
        <f t="shared" si="2"/>
        <v>0</v>
      </c>
      <c r="L23" s="8">
        <f t="shared" si="3"/>
        <v>5</v>
      </c>
      <c r="M23" s="9">
        <f t="shared" si="4"/>
        <v>39</v>
      </c>
      <c r="N23" s="21">
        <f t="shared" si="5"/>
        <v>10.615384615384615</v>
      </c>
      <c r="O23" s="109">
        <v>127</v>
      </c>
      <c r="P23" s="109">
        <v>147</v>
      </c>
      <c r="Q23" s="47"/>
      <c r="R23" s="58"/>
      <c r="S23" s="49"/>
    </row>
    <row r="24" spans="1:19" ht="12.75">
      <c r="A24" t="s">
        <v>85</v>
      </c>
      <c r="B24" s="42" t="s">
        <v>48</v>
      </c>
      <c r="C24" s="54"/>
      <c r="D24" s="54"/>
      <c r="E24" s="54"/>
      <c r="F24" s="51">
        <f t="shared" si="0"/>
      </c>
      <c r="G24" s="52"/>
      <c r="H24" s="51"/>
      <c r="I24" s="51">
        <f t="shared" si="1"/>
      </c>
      <c r="J24" s="53"/>
      <c r="K24" s="9">
        <f t="shared" si="2"/>
      </c>
      <c r="L24" s="8">
        <f t="shared" si="3"/>
      </c>
      <c r="M24" s="9">
        <f t="shared" si="4"/>
      </c>
      <c r="N24" s="21">
        <f t="shared" si="5"/>
      </c>
      <c r="O24" s="109"/>
      <c r="P24" s="109"/>
      <c r="Q24" s="47"/>
      <c r="R24" s="58"/>
      <c r="S24" s="49"/>
    </row>
    <row r="25" spans="1:19" ht="12.75">
      <c r="A25" t="s">
        <v>85</v>
      </c>
      <c r="B25" s="42" t="s">
        <v>49</v>
      </c>
      <c r="C25" s="54">
        <v>1</v>
      </c>
      <c r="D25" s="54">
        <v>4</v>
      </c>
      <c r="E25" s="54"/>
      <c r="F25" s="51">
        <f t="shared" si="0"/>
        <v>0.044444444444444446</v>
      </c>
      <c r="G25" s="52" t="s">
        <v>60</v>
      </c>
      <c r="H25" s="51">
        <v>11000</v>
      </c>
      <c r="I25" s="51">
        <f t="shared" si="1"/>
        <v>0.00404040404040404</v>
      </c>
      <c r="J25" s="53"/>
      <c r="K25" s="9">
        <f t="shared" si="2"/>
        <v>0</v>
      </c>
      <c r="L25" s="8">
        <f t="shared" si="3"/>
        <v>5</v>
      </c>
      <c r="M25" s="9">
        <f t="shared" si="4"/>
        <v>49</v>
      </c>
      <c r="N25" s="21">
        <f t="shared" si="5"/>
        <v>10.3125</v>
      </c>
      <c r="O25" s="109">
        <v>127</v>
      </c>
      <c r="P25" s="109">
        <v>147</v>
      </c>
      <c r="Q25" s="47"/>
      <c r="R25" s="58"/>
      <c r="S25" s="49"/>
    </row>
    <row r="26" spans="1:19" ht="12.75">
      <c r="A26" t="s">
        <v>85</v>
      </c>
      <c r="B26" s="42" t="s">
        <v>50</v>
      </c>
      <c r="C26" s="54"/>
      <c r="D26" s="54"/>
      <c r="E26" s="54"/>
      <c r="F26" s="51">
        <f t="shared" si="0"/>
      </c>
      <c r="G26" s="52"/>
      <c r="H26" s="51"/>
      <c r="I26" s="51">
        <f t="shared" si="1"/>
      </c>
      <c r="J26" s="53"/>
      <c r="K26" s="9">
        <f t="shared" si="2"/>
      </c>
      <c r="L26" s="8">
        <f t="shared" si="3"/>
      </c>
      <c r="M26" s="9">
        <f t="shared" si="4"/>
      </c>
      <c r="N26" s="21">
        <f t="shared" si="5"/>
      </c>
      <c r="O26" s="109"/>
      <c r="P26" s="109"/>
      <c r="Q26" s="47"/>
      <c r="R26" s="58"/>
      <c r="S26" s="49"/>
    </row>
    <row r="27" spans="1:19" ht="12.75">
      <c r="A27" t="s">
        <v>85</v>
      </c>
      <c r="B27" s="42" t="s">
        <v>51</v>
      </c>
      <c r="C27" s="54"/>
      <c r="D27" s="54"/>
      <c r="E27" s="54"/>
      <c r="F27" s="51">
        <f t="shared" si="0"/>
      </c>
      <c r="G27" s="52"/>
      <c r="H27" s="51"/>
      <c r="I27" s="51">
        <f t="shared" si="1"/>
      </c>
      <c r="J27" s="53"/>
      <c r="K27" s="9">
        <f t="shared" si="2"/>
      </c>
      <c r="L27" s="8">
        <f t="shared" si="3"/>
      </c>
      <c r="M27" s="9">
        <f t="shared" si="4"/>
      </c>
      <c r="N27" s="21">
        <f t="shared" si="5"/>
      </c>
      <c r="O27" s="109"/>
      <c r="P27" s="109"/>
      <c r="Q27" s="47"/>
      <c r="R27" s="58"/>
      <c r="S27" s="49"/>
    </row>
    <row r="28" spans="1:19" ht="12.75">
      <c r="A28" t="s">
        <v>85</v>
      </c>
      <c r="B28" s="42" t="s">
        <v>52</v>
      </c>
      <c r="C28" s="54"/>
      <c r="D28" s="54"/>
      <c r="E28" s="54"/>
      <c r="F28" s="51">
        <f t="shared" si="0"/>
      </c>
      <c r="G28" s="52"/>
      <c r="H28" s="51"/>
      <c r="I28" s="51">
        <f t="shared" si="1"/>
      </c>
      <c r="J28" s="53"/>
      <c r="K28" s="9">
        <f t="shared" si="2"/>
      </c>
      <c r="L28" s="8">
        <f t="shared" si="3"/>
      </c>
      <c r="M28" s="9">
        <f t="shared" si="4"/>
      </c>
      <c r="N28" s="21">
        <f t="shared" si="5"/>
      </c>
      <c r="O28" s="109"/>
      <c r="P28" s="109"/>
      <c r="Q28" s="47"/>
      <c r="R28" s="58"/>
      <c r="S28" s="49"/>
    </row>
    <row r="29" spans="1:19" ht="12.75">
      <c r="A29" t="s">
        <v>85</v>
      </c>
      <c r="B29" s="42" t="s">
        <v>53</v>
      </c>
      <c r="C29" s="54">
        <v>1</v>
      </c>
      <c r="D29" s="54">
        <v>56</v>
      </c>
      <c r="E29" s="54"/>
      <c r="F29" s="51">
        <f t="shared" si="0"/>
        <v>0.08055555555555556</v>
      </c>
      <c r="G29" s="52" t="s">
        <v>60</v>
      </c>
      <c r="H29" s="51">
        <v>20500</v>
      </c>
      <c r="I29" s="51">
        <f t="shared" si="1"/>
        <v>0.003929539295392954</v>
      </c>
      <c r="J29" s="53"/>
      <c r="K29" s="9">
        <f t="shared" si="2"/>
        <v>0</v>
      </c>
      <c r="L29" s="8">
        <f t="shared" si="3"/>
        <v>5</v>
      </c>
      <c r="M29" s="9">
        <f t="shared" si="4"/>
        <v>40</v>
      </c>
      <c r="N29" s="21">
        <f t="shared" si="5"/>
        <v>10.603448275862068</v>
      </c>
      <c r="O29" s="109">
        <v>127</v>
      </c>
      <c r="P29" s="109">
        <v>147</v>
      </c>
      <c r="Q29" s="47"/>
      <c r="R29" s="58"/>
      <c r="S29" s="49"/>
    </row>
    <row r="30" spans="1:19" ht="12.75">
      <c r="A30" t="s">
        <v>85</v>
      </c>
      <c r="B30" s="42" t="s">
        <v>54</v>
      </c>
      <c r="C30" s="54"/>
      <c r="D30" s="54"/>
      <c r="E30" s="54"/>
      <c r="F30" s="51">
        <f t="shared" si="0"/>
      </c>
      <c r="G30" s="52"/>
      <c r="H30" s="51"/>
      <c r="I30" s="51">
        <f t="shared" si="1"/>
      </c>
      <c r="J30" s="53"/>
      <c r="K30" s="9">
        <f t="shared" si="2"/>
      </c>
      <c r="L30" s="8">
        <f t="shared" si="3"/>
      </c>
      <c r="M30" s="9">
        <f t="shared" si="4"/>
      </c>
      <c r="N30" s="21">
        <f t="shared" si="5"/>
      </c>
      <c r="O30" s="109"/>
      <c r="P30" s="109"/>
      <c r="Q30" s="47"/>
      <c r="R30" s="58"/>
      <c r="S30" s="49"/>
    </row>
    <row r="31" spans="1:19" ht="12.75">
      <c r="A31" t="s">
        <v>85</v>
      </c>
      <c r="B31" s="42" t="s">
        <v>55</v>
      </c>
      <c r="C31" s="54"/>
      <c r="D31" s="54">
        <v>40</v>
      </c>
      <c r="E31" s="54"/>
      <c r="F31" s="51">
        <f t="shared" si="0"/>
        <v>0.027777777777777776</v>
      </c>
      <c r="G31" s="52" t="s">
        <v>60</v>
      </c>
      <c r="H31" s="51">
        <v>8000</v>
      </c>
      <c r="I31" s="51">
        <f t="shared" si="1"/>
        <v>0.003472222222222222</v>
      </c>
      <c r="J31" s="53"/>
      <c r="K31" s="9">
        <f t="shared" si="2"/>
        <v>0</v>
      </c>
      <c r="L31" s="8">
        <f t="shared" si="3"/>
        <v>5</v>
      </c>
      <c r="M31" s="9">
        <f t="shared" si="4"/>
        <v>0</v>
      </c>
      <c r="N31" s="21">
        <f t="shared" si="5"/>
        <v>12</v>
      </c>
      <c r="O31" s="109">
        <v>127</v>
      </c>
      <c r="P31" s="109">
        <v>160</v>
      </c>
      <c r="Q31" s="47"/>
      <c r="R31" s="58"/>
      <c r="S31" s="49" t="s">
        <v>25</v>
      </c>
    </row>
    <row r="32" spans="1:19" ht="12.75">
      <c r="A32" t="s">
        <v>85</v>
      </c>
      <c r="B32" s="42" t="s">
        <v>56</v>
      </c>
      <c r="C32" s="54"/>
      <c r="D32" s="54"/>
      <c r="E32" s="54"/>
      <c r="F32" s="51">
        <f t="shared" si="0"/>
      </c>
      <c r="G32" s="52"/>
      <c r="H32" s="51"/>
      <c r="I32" s="51">
        <f t="shared" si="1"/>
      </c>
      <c r="J32" s="53"/>
      <c r="K32" s="9">
        <f t="shared" si="2"/>
      </c>
      <c r="L32" s="8">
        <f t="shared" si="3"/>
      </c>
      <c r="M32" s="9">
        <f t="shared" si="4"/>
      </c>
      <c r="N32" s="21">
        <f t="shared" si="5"/>
      </c>
      <c r="O32" s="109"/>
      <c r="P32" s="109"/>
      <c r="Q32" s="47"/>
      <c r="R32" s="58"/>
      <c r="S32" s="49"/>
    </row>
    <row r="33" spans="1:19" ht="12.75">
      <c r="A33" t="s">
        <v>85</v>
      </c>
      <c r="B33" s="42" t="s">
        <v>57</v>
      </c>
      <c r="C33" s="54"/>
      <c r="D33" s="54">
        <v>47</v>
      </c>
      <c r="E33" s="54"/>
      <c r="F33" s="51">
        <f t="shared" si="0"/>
        <v>0.03263888888888889</v>
      </c>
      <c r="G33" s="52" t="s">
        <v>60</v>
      </c>
      <c r="H33" s="51">
        <v>7800</v>
      </c>
      <c r="I33" s="51">
        <f t="shared" si="1"/>
        <v>0.004184472934472935</v>
      </c>
      <c r="J33" s="53"/>
      <c r="K33" s="9">
        <f t="shared" si="2"/>
        <v>0</v>
      </c>
      <c r="L33" s="8">
        <f t="shared" si="3"/>
        <v>6</v>
      </c>
      <c r="M33" s="9">
        <f t="shared" si="4"/>
        <v>2</v>
      </c>
      <c r="N33" s="21">
        <f t="shared" si="5"/>
        <v>9.957446808510639</v>
      </c>
      <c r="O33" s="109"/>
      <c r="P33" s="109"/>
      <c r="Q33" s="47"/>
      <c r="R33" s="58"/>
      <c r="S33" s="49"/>
    </row>
    <row r="34" ht="13.5" thickBot="1"/>
    <row r="35" spans="2:19" ht="13.5" thickBot="1">
      <c r="B35" s="41" t="s">
        <v>24</v>
      </c>
      <c r="C35" s="16">
        <f>HOUR(F35)</f>
        <v>17</v>
      </c>
      <c r="D35" s="16">
        <f>MINUTE(F35)</f>
        <v>33</v>
      </c>
      <c r="E35" s="17">
        <f>SECOND(F35)</f>
        <v>20</v>
      </c>
      <c r="F35" s="2">
        <f>SUMIF($G$3:$G$33,"x",F3:F33)</f>
        <v>0.7314814814814814</v>
      </c>
      <c r="G35" s="29">
        <f>COUNTIF(G3:G33,"x")</f>
        <v>16</v>
      </c>
      <c r="H35" s="2">
        <f>SUMIF($G$3:$G$33,"x",H3:H33)</f>
        <v>185300</v>
      </c>
      <c r="I35" s="2">
        <f>AVERAGE(I3:I34)</f>
        <v>0.003943251748747408</v>
      </c>
      <c r="K35" s="13">
        <f>IF(G35=0,"",HOUR(I35))</f>
        <v>0</v>
      </c>
      <c r="L35" s="14">
        <f>IF(G35=0,"",MINUTE(I35))</f>
        <v>5</v>
      </c>
      <c r="M35" s="14">
        <f>IF(G35=0,"",SECOND(I35))</f>
        <v>41</v>
      </c>
      <c r="N35" s="23">
        <f>IF(G35=0,"",($T$2*H35/F35)/1000)</f>
        <v>10.555063291139241</v>
      </c>
      <c r="O35" s="115"/>
      <c r="P35" s="115"/>
      <c r="Q35" s="23"/>
      <c r="R35" s="60">
        <f>SUM(R3:R33)</f>
        <v>0</v>
      </c>
      <c r="S35" s="15" t="s">
        <v>11</v>
      </c>
    </row>
  </sheetData>
  <mergeCells count="2">
    <mergeCell ref="C1:E1"/>
    <mergeCell ref="K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BROYART</dc:creator>
  <cp:keywords/>
  <dc:description/>
  <cp:lastModifiedBy>DOMI</cp:lastModifiedBy>
  <cp:lastPrinted>2000-01-29T08:57:44Z</cp:lastPrinted>
  <dcterms:created xsi:type="dcterms:W3CDTF">1999-03-27T10:15:50Z</dcterms:created>
  <dcterms:modified xsi:type="dcterms:W3CDTF">2005-07-03T15:36:27Z</dcterms:modified>
  <cp:category/>
  <cp:version/>
  <cp:contentType/>
  <cp:contentStatus/>
</cp:coreProperties>
</file>